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udget\2025-2026\Unaudited Financials\"/>
    </mc:Choice>
  </mc:AlternateContent>
  <xr:revisionPtr revIDLastSave="0" documentId="13_ncr:1_{BED0178A-3373-4666-A15A-8FAE949D856A}" xr6:coauthVersionLast="47" xr6:coauthVersionMax="47" xr10:uidLastSave="{00000000-0000-0000-0000-000000000000}"/>
  <bookViews>
    <workbookView xWindow="-105" yWindow="0" windowWidth="19410" windowHeight="15585" tabRatio="698" firstSheet="7" activeTab="7" xr2:uid="{00000000-000D-0000-FFFF-FFFF00000000}"/>
  </bookViews>
  <sheets>
    <sheet name="Sheet1" sheetId="1" state="hidden" r:id="rId1"/>
    <sheet name="Alert" sheetId="166" state="hidden" r:id="rId2"/>
    <sheet name="SOFP - Intacct Full" sheetId="249" state="hidden" r:id="rId3"/>
    <sheet name="SOFP - Intacct Summary" sheetId="240" state="hidden" r:id="rId4"/>
    <sheet name="SOA -Intacct" sheetId="246" state="hidden" r:id="rId5"/>
    <sheet name="Restricted Balances" sheetId="252" state="hidden" r:id="rId6"/>
    <sheet name="Joe County Report- Intacct" sheetId="241" state="hidden" r:id="rId7"/>
    <sheet name="Balance Sheet" sheetId="251" r:id="rId8"/>
    <sheet name="Stmt of Rev, Exp, and Fund  (2)" sheetId="250" r:id="rId9"/>
  </sheets>
  <definedNames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7">'Balance Sheet'!$A$1:$O$41</definedName>
    <definedName name="_xlnm.Print_Area" localSheetId="4">'SOA -Intacct'!$A$1:$D$165</definedName>
    <definedName name="_xlnm.Print_Area" localSheetId="3">'SOFP - Intacct Summary'!$A$1:$C$43</definedName>
    <definedName name="_xlnm.Print_Area" localSheetId="8">'Stmt of Rev, Exp, and Fund  (2)'!$A$1:$BA$74</definedName>
    <definedName name="_xlnm.Print_Titles" localSheetId="8">'Stmt of Rev, Exp, and Fund  (2)'!$A:$F,'Stmt of Rev, Exp, and Fund  (2)'!$1:$9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250" l="1"/>
  <c r="K45" i="250"/>
  <c r="K48" i="250"/>
  <c r="K30" i="250"/>
  <c r="K33" i="250"/>
  <c r="K31" i="250"/>
  <c r="K28" i="250"/>
  <c r="K53" i="250"/>
  <c r="K41" i="250"/>
  <c r="K34" i="250"/>
  <c r="K50" i="250"/>
  <c r="K46" i="250"/>
  <c r="K43" i="250"/>
  <c r="K38" i="250"/>
  <c r="K35" i="250"/>
  <c r="K29" i="250"/>
  <c r="I48" i="250" l="1"/>
  <c r="I41" i="250"/>
  <c r="I39" i="250"/>
  <c r="I35" i="250"/>
  <c r="I34" i="250"/>
  <c r="I29" i="250"/>
  <c r="I28" i="250"/>
  <c r="I70" i="250"/>
  <c r="E17" i="251"/>
  <c r="E27" i="251"/>
  <c r="S59" i="241"/>
  <c r="D17" i="240"/>
  <c r="K23" i="250" l="1"/>
  <c r="E29" i="251"/>
  <c r="E28" i="251"/>
  <c r="E34" i="251" l="1"/>
  <c r="G45" i="250" l="1"/>
  <c r="E35" i="251" l="1"/>
  <c r="I31" i="250"/>
  <c r="I52" i="250"/>
  <c r="I50" i="250"/>
  <c r="I38" i="250"/>
  <c r="G23" i="250"/>
  <c r="K32" i="250" l="1"/>
  <c r="I43" i="250"/>
  <c r="I46" i="250" l="1"/>
  <c r="G41" i="250" l="1"/>
  <c r="G52" i="250"/>
  <c r="I30" i="250"/>
  <c r="G30" i="250"/>
  <c r="S15" i="250" l="1"/>
  <c r="G46" i="250" l="1"/>
  <c r="G39" i="250"/>
  <c r="S16" i="250" l="1"/>
  <c r="I53" i="250" l="1"/>
  <c r="I51" i="250"/>
  <c r="AW16" i="250"/>
  <c r="G28" i="250" l="1"/>
  <c r="Q28" i="250" l="1"/>
  <c r="O28" i="250"/>
  <c r="E13" i="251" l="1"/>
  <c r="I32" i="250" l="1"/>
  <c r="AK64" i="250" l="1"/>
  <c r="K70" i="250" l="1"/>
  <c r="A4" i="250"/>
  <c r="K69" i="250" l="1"/>
  <c r="K71" i="250" s="1"/>
  <c r="AC64" i="250"/>
  <c r="U61" i="250"/>
  <c r="AI54" i="250"/>
  <c r="AK54" i="250" s="1"/>
  <c r="AG54" i="250"/>
  <c r="AE54" i="250"/>
  <c r="AI53" i="250"/>
  <c r="AG53" i="250"/>
  <c r="AE53" i="250"/>
  <c r="AI52" i="250"/>
  <c r="AK52" i="250" s="1"/>
  <c r="AG52" i="250"/>
  <c r="AE52" i="250"/>
  <c r="AI51" i="250"/>
  <c r="AK51" i="250" s="1"/>
  <c r="AG51" i="250"/>
  <c r="AE51" i="250"/>
  <c r="AI50" i="250"/>
  <c r="AK50" i="250" s="1"/>
  <c r="AG50" i="250"/>
  <c r="AE50" i="250"/>
  <c r="AI49" i="250"/>
  <c r="AK49" i="250" s="1"/>
  <c r="AG49" i="250"/>
  <c r="AE49" i="250"/>
  <c r="AI48" i="250"/>
  <c r="AG48" i="250"/>
  <c r="AE48" i="250"/>
  <c r="AI47" i="250"/>
  <c r="AK47" i="250" s="1"/>
  <c r="AG47" i="250"/>
  <c r="AE47" i="250"/>
  <c r="AI46" i="250"/>
  <c r="AG46" i="250"/>
  <c r="AE46" i="250"/>
  <c r="AI45" i="250"/>
  <c r="AG45" i="250"/>
  <c r="AE45" i="250"/>
  <c r="AI44" i="250"/>
  <c r="AK44" i="250" s="1"/>
  <c r="AG44" i="250"/>
  <c r="AE44" i="250"/>
  <c r="AI43" i="250"/>
  <c r="AG43" i="250"/>
  <c r="AE43" i="250"/>
  <c r="AI42" i="250"/>
  <c r="AK42" i="250" s="1"/>
  <c r="AG42" i="250"/>
  <c r="AE42" i="250"/>
  <c r="AI41" i="250"/>
  <c r="AG41" i="250"/>
  <c r="AE41" i="250"/>
  <c r="AI40" i="250"/>
  <c r="AK40" i="250" s="1"/>
  <c r="AG40" i="250"/>
  <c r="AE40" i="250"/>
  <c r="AI39" i="250"/>
  <c r="AG39" i="250"/>
  <c r="AE39" i="250"/>
  <c r="AI38" i="250"/>
  <c r="AG38" i="250"/>
  <c r="AE38" i="250"/>
  <c r="AI37" i="250"/>
  <c r="AK37" i="250" s="1"/>
  <c r="AG37" i="250"/>
  <c r="AE37" i="250"/>
  <c r="AI36" i="250"/>
  <c r="AK36" i="250" s="1"/>
  <c r="AG36" i="250"/>
  <c r="AE36" i="250"/>
  <c r="AI35" i="250"/>
  <c r="AK35" i="250" s="1"/>
  <c r="AG35" i="250"/>
  <c r="AE35" i="250"/>
  <c r="AI34" i="250"/>
  <c r="AK34" i="250" s="1"/>
  <c r="AG34" i="250"/>
  <c r="AE34" i="250"/>
  <c r="AI33" i="250"/>
  <c r="AK33" i="250" s="1"/>
  <c r="AG33" i="250"/>
  <c r="AE33" i="250"/>
  <c r="AI32" i="250"/>
  <c r="AK32" i="250" s="1"/>
  <c r="AG32" i="250"/>
  <c r="AE32" i="250"/>
  <c r="AI31" i="250"/>
  <c r="AG31" i="250"/>
  <c r="AE31" i="250"/>
  <c r="AI30" i="250"/>
  <c r="AK30" i="250" s="1"/>
  <c r="AG30" i="250"/>
  <c r="AE30" i="250"/>
  <c r="AI29" i="250"/>
  <c r="AG29" i="250"/>
  <c r="AE29" i="250"/>
  <c r="AI28" i="250"/>
  <c r="AK28" i="250" s="1"/>
  <c r="AG28" i="250"/>
  <c r="AE28" i="250"/>
  <c r="AI23" i="250"/>
  <c r="AI22" i="250"/>
  <c r="AK22" i="250" s="1"/>
  <c r="AI20" i="250"/>
  <c r="AK20" i="250" s="1"/>
  <c r="AI19" i="250"/>
  <c r="AI18" i="250"/>
  <c r="AI16" i="250"/>
  <c r="AK16" i="250" s="1"/>
  <c r="AI15" i="250"/>
  <c r="AK15" i="250" s="1"/>
  <c r="AG23" i="250"/>
  <c r="AG22" i="250"/>
  <c r="AG20" i="250"/>
  <c r="AG19" i="250"/>
  <c r="AG18" i="250"/>
  <c r="AG16" i="250"/>
  <c r="AG15" i="250"/>
  <c r="AE23" i="250"/>
  <c r="AE22" i="250"/>
  <c r="AE20" i="250"/>
  <c r="AE19" i="250"/>
  <c r="AE18" i="250"/>
  <c r="AE16" i="250"/>
  <c r="AE15" i="250"/>
  <c r="AA54" i="250"/>
  <c r="Y54" i="250"/>
  <c r="W54" i="250"/>
  <c r="AA53" i="250"/>
  <c r="AC53" i="250" s="1"/>
  <c r="Y53" i="250"/>
  <c r="W53" i="250"/>
  <c r="AA52" i="250"/>
  <c r="AC52" i="250" s="1"/>
  <c r="Y52" i="250"/>
  <c r="W52" i="250"/>
  <c r="AA51" i="250"/>
  <c r="AC51" i="250" s="1"/>
  <c r="Y51" i="250"/>
  <c r="W51" i="250"/>
  <c r="AA50" i="250"/>
  <c r="AC50" i="250" s="1"/>
  <c r="Y50" i="250"/>
  <c r="W50" i="250"/>
  <c r="AA49" i="250"/>
  <c r="AC49" i="250" s="1"/>
  <c r="Y49" i="250"/>
  <c r="W49" i="250"/>
  <c r="AA48" i="250"/>
  <c r="AC48" i="250" s="1"/>
  <c r="Y48" i="250"/>
  <c r="W48" i="250"/>
  <c r="AA47" i="250"/>
  <c r="AC47" i="250" s="1"/>
  <c r="Y47" i="250"/>
  <c r="W47" i="250"/>
  <c r="AA46" i="250"/>
  <c r="AC46" i="250" s="1"/>
  <c r="Y46" i="250"/>
  <c r="W46" i="250"/>
  <c r="AA45" i="250"/>
  <c r="AC45" i="250" s="1"/>
  <c r="Y45" i="250"/>
  <c r="W45" i="250"/>
  <c r="AA44" i="250"/>
  <c r="AC44" i="250" s="1"/>
  <c r="Y44" i="250"/>
  <c r="W44" i="250"/>
  <c r="AA43" i="250"/>
  <c r="Y43" i="250"/>
  <c r="W43" i="250"/>
  <c r="AA42" i="250"/>
  <c r="AC42" i="250" s="1"/>
  <c r="Y42" i="250"/>
  <c r="W42" i="250"/>
  <c r="AA41" i="250"/>
  <c r="AC41" i="250" s="1"/>
  <c r="Y41" i="250"/>
  <c r="W41" i="250"/>
  <c r="AA40" i="250"/>
  <c r="AC40" i="250" s="1"/>
  <c r="Y40" i="250"/>
  <c r="W40" i="250"/>
  <c r="AA39" i="250"/>
  <c r="AC39" i="250" s="1"/>
  <c r="Y39" i="250"/>
  <c r="W39" i="250"/>
  <c r="AA38" i="250"/>
  <c r="AC38" i="250" s="1"/>
  <c r="Y38" i="250"/>
  <c r="W38" i="250"/>
  <c r="AA37" i="250"/>
  <c r="AC37" i="250" s="1"/>
  <c r="Y37" i="250"/>
  <c r="W37" i="250"/>
  <c r="AA36" i="250"/>
  <c r="AC36" i="250" s="1"/>
  <c r="Y36" i="250"/>
  <c r="W36" i="250"/>
  <c r="AA35" i="250"/>
  <c r="AC35" i="250" s="1"/>
  <c r="Y35" i="250"/>
  <c r="W35" i="250"/>
  <c r="AA34" i="250"/>
  <c r="AC34" i="250" s="1"/>
  <c r="Y34" i="250"/>
  <c r="W34" i="250"/>
  <c r="AA33" i="250"/>
  <c r="AC33" i="250" s="1"/>
  <c r="Y33" i="250"/>
  <c r="W33" i="250"/>
  <c r="AA32" i="250"/>
  <c r="AC32" i="250" s="1"/>
  <c r="Y32" i="250"/>
  <c r="W32" i="250"/>
  <c r="AA31" i="250"/>
  <c r="AC31" i="250" s="1"/>
  <c r="Y31" i="250"/>
  <c r="W31" i="250"/>
  <c r="AA30" i="250"/>
  <c r="AC30" i="250" s="1"/>
  <c r="Y30" i="250"/>
  <c r="W30" i="250"/>
  <c r="AA29" i="250"/>
  <c r="AC29" i="250" s="1"/>
  <c r="Y29" i="250"/>
  <c r="W29" i="250"/>
  <c r="AA28" i="250"/>
  <c r="AC28" i="250" s="1"/>
  <c r="Y28" i="250"/>
  <c r="W28" i="250"/>
  <c r="AC21" i="250"/>
  <c r="AC17" i="250"/>
  <c r="AA23" i="250"/>
  <c r="AC23" i="250" s="1"/>
  <c r="AA22" i="250"/>
  <c r="AC22" i="250" s="1"/>
  <c r="AA20" i="250"/>
  <c r="AA19" i="250"/>
  <c r="AC19" i="250" s="1"/>
  <c r="AA18" i="250"/>
  <c r="AA16" i="250"/>
  <c r="AC16" i="250" s="1"/>
  <c r="AA15" i="250"/>
  <c r="AC15" i="250" s="1"/>
  <c r="Y23" i="250"/>
  <c r="Y22" i="250"/>
  <c r="Y20" i="250"/>
  <c r="Y19" i="250"/>
  <c r="Y18" i="250"/>
  <c r="Y16" i="250"/>
  <c r="Y15" i="250"/>
  <c r="W23" i="250"/>
  <c r="W22" i="250"/>
  <c r="W20" i="250"/>
  <c r="W19" i="250"/>
  <c r="W18" i="250"/>
  <c r="W16" i="250"/>
  <c r="W15" i="250"/>
  <c r="S54" i="250"/>
  <c r="U54" i="250" s="1"/>
  <c r="S53" i="250"/>
  <c r="S52" i="250"/>
  <c r="U52" i="250" s="1"/>
  <c r="S51" i="250"/>
  <c r="U51" i="250" s="1"/>
  <c r="S50" i="250"/>
  <c r="U50" i="250" s="1"/>
  <c r="S49" i="250"/>
  <c r="U49" i="250" s="1"/>
  <c r="S48" i="250"/>
  <c r="U48" i="250" s="1"/>
  <c r="S47" i="250"/>
  <c r="U47" i="250" s="1"/>
  <c r="S46" i="250"/>
  <c r="U46" i="250" s="1"/>
  <c r="S45" i="250"/>
  <c r="U45" i="250" s="1"/>
  <c r="S44" i="250"/>
  <c r="U44" i="250" s="1"/>
  <c r="S43" i="250"/>
  <c r="U43" i="250" s="1"/>
  <c r="S42" i="250"/>
  <c r="U42" i="250" s="1"/>
  <c r="S41" i="250"/>
  <c r="U41" i="250" s="1"/>
  <c r="S40" i="250"/>
  <c r="U40" i="250" s="1"/>
  <c r="S39" i="250"/>
  <c r="U39" i="250" s="1"/>
  <c r="S38" i="250"/>
  <c r="S37" i="250"/>
  <c r="U37" i="250" s="1"/>
  <c r="S36" i="250"/>
  <c r="U36" i="250" s="1"/>
  <c r="S35" i="250"/>
  <c r="U35" i="250" s="1"/>
  <c r="S34" i="250"/>
  <c r="U34" i="250" s="1"/>
  <c r="S33" i="250"/>
  <c r="U33" i="250" s="1"/>
  <c r="S32" i="250"/>
  <c r="U32" i="250" s="1"/>
  <c r="S31" i="250"/>
  <c r="U31" i="250" s="1"/>
  <c r="S30" i="250"/>
  <c r="U30" i="250" s="1"/>
  <c r="S29" i="250"/>
  <c r="U29" i="250" s="1"/>
  <c r="Q54" i="250"/>
  <c r="Q53" i="250"/>
  <c r="Q52" i="250"/>
  <c r="Q51" i="250"/>
  <c r="Q50" i="250"/>
  <c r="Q49" i="250"/>
  <c r="Q48" i="250"/>
  <c r="Q47" i="250"/>
  <c r="Q46" i="250"/>
  <c r="Q45" i="250"/>
  <c r="Q44" i="250"/>
  <c r="Q43" i="250"/>
  <c r="Q42" i="250"/>
  <c r="Q41" i="250"/>
  <c r="Q40" i="250"/>
  <c r="Q39" i="250"/>
  <c r="Q38" i="250"/>
  <c r="Q37" i="250"/>
  <c r="Q36" i="250"/>
  <c r="Q35" i="250"/>
  <c r="Q34" i="250"/>
  <c r="Q33" i="250"/>
  <c r="Q32" i="250"/>
  <c r="Q31" i="250"/>
  <c r="Q30" i="250"/>
  <c r="Q29" i="250"/>
  <c r="S28" i="250"/>
  <c r="U28" i="250" s="1"/>
  <c r="O54" i="250"/>
  <c r="O53" i="250"/>
  <c r="O52" i="250"/>
  <c r="O51" i="250"/>
  <c r="O50" i="250"/>
  <c r="O49" i="250"/>
  <c r="O48" i="250"/>
  <c r="O47" i="250"/>
  <c r="O46" i="250"/>
  <c r="O45" i="250"/>
  <c r="O44" i="250"/>
  <c r="O43" i="250"/>
  <c r="O42" i="250"/>
  <c r="O41" i="250"/>
  <c r="O40" i="250"/>
  <c r="O39" i="250"/>
  <c r="O38" i="250"/>
  <c r="O37" i="250"/>
  <c r="O36" i="250"/>
  <c r="O35" i="250"/>
  <c r="O34" i="250"/>
  <c r="O33" i="250"/>
  <c r="O32" i="250"/>
  <c r="O31" i="250"/>
  <c r="O30" i="250"/>
  <c r="O29" i="250"/>
  <c r="S23" i="250"/>
  <c r="S22" i="250"/>
  <c r="U22" i="250" s="1"/>
  <c r="S20" i="250"/>
  <c r="S19" i="250"/>
  <c r="U19" i="250" s="1"/>
  <c r="S18" i="250"/>
  <c r="U18" i="250" s="1"/>
  <c r="Q22" i="250"/>
  <c r="Q20" i="250"/>
  <c r="Q19" i="250"/>
  <c r="Q18" i="250"/>
  <c r="Q23" i="250"/>
  <c r="Q16" i="250"/>
  <c r="Q15" i="250"/>
  <c r="O23" i="250"/>
  <c r="O22" i="250"/>
  <c r="O20" i="250"/>
  <c r="O19" i="250"/>
  <c r="O18" i="250"/>
  <c r="O16" i="250"/>
  <c r="O15" i="250"/>
  <c r="E12" i="251"/>
  <c r="O12" i="251" s="1"/>
  <c r="O13" i="251"/>
  <c r="O14" i="251"/>
  <c r="O15" i="251"/>
  <c r="O16" i="251"/>
  <c r="O17" i="251"/>
  <c r="G19" i="251"/>
  <c r="G42" i="251" s="1"/>
  <c r="I19" i="251"/>
  <c r="I42" i="251" s="1"/>
  <c r="K19" i="251"/>
  <c r="K42" i="251" s="1"/>
  <c r="M19" i="251"/>
  <c r="M42" i="251" s="1"/>
  <c r="E24" i="251"/>
  <c r="E25" i="251"/>
  <c r="O25" i="251" s="1"/>
  <c r="O26" i="251"/>
  <c r="O27" i="251"/>
  <c r="O28" i="251"/>
  <c r="O29" i="251"/>
  <c r="G31" i="251"/>
  <c r="I31" i="251"/>
  <c r="K31" i="251"/>
  <c r="M31" i="251"/>
  <c r="O35" i="251"/>
  <c r="O36" i="251"/>
  <c r="O37" i="251"/>
  <c r="G40" i="251"/>
  <c r="I40" i="251"/>
  <c r="K40" i="251"/>
  <c r="K41" i="251" s="1"/>
  <c r="M40" i="251"/>
  <c r="M41" i="251" s="1"/>
  <c r="G41" i="251"/>
  <c r="I41" i="251"/>
  <c r="D8" i="250"/>
  <c r="G15" i="250"/>
  <c r="I15" i="250"/>
  <c r="K15" i="250"/>
  <c r="AS15" i="250"/>
  <c r="G16" i="250"/>
  <c r="I16" i="250"/>
  <c r="K16" i="250"/>
  <c r="AS16" i="250"/>
  <c r="G18" i="250"/>
  <c r="I18" i="250"/>
  <c r="K18" i="250"/>
  <c r="AS18" i="250"/>
  <c r="G19" i="250"/>
  <c r="I19" i="250"/>
  <c r="K19" i="250"/>
  <c r="AS19" i="250"/>
  <c r="G20" i="250"/>
  <c r="I20" i="250"/>
  <c r="K20" i="250"/>
  <c r="AS20" i="250"/>
  <c r="G22" i="250"/>
  <c r="I22" i="250"/>
  <c r="K22" i="250"/>
  <c r="AS22" i="250"/>
  <c r="I23" i="250"/>
  <c r="AS23" i="250"/>
  <c r="AM24" i="250"/>
  <c r="AO24" i="250"/>
  <c r="AQ24" i="250"/>
  <c r="AS24" i="250" s="1"/>
  <c r="AS28" i="250"/>
  <c r="G29" i="250"/>
  <c r="G31" i="250"/>
  <c r="G32" i="250"/>
  <c r="G33" i="250"/>
  <c r="I33" i="250"/>
  <c r="G34" i="250"/>
  <c r="G35" i="250"/>
  <c r="G36" i="250"/>
  <c r="I36" i="250"/>
  <c r="K36" i="250"/>
  <c r="G37" i="250"/>
  <c r="I37" i="250"/>
  <c r="K37" i="250"/>
  <c r="M37" i="250" s="1"/>
  <c r="G38" i="250"/>
  <c r="K39" i="250"/>
  <c r="AS39" i="250"/>
  <c r="G40" i="250"/>
  <c r="I40" i="250"/>
  <c r="K40" i="250"/>
  <c r="M40" i="250" s="1"/>
  <c r="G42" i="250"/>
  <c r="I42" i="250"/>
  <c r="K42" i="250"/>
  <c r="M42" i="250" s="1"/>
  <c r="AS42" i="250"/>
  <c r="G43" i="250"/>
  <c r="M43" i="250"/>
  <c r="G44" i="250"/>
  <c r="I44" i="250"/>
  <c r="K44" i="250"/>
  <c r="M44" i="250" s="1"/>
  <c r="AS44" i="250"/>
  <c r="AS46" i="250"/>
  <c r="G47" i="250"/>
  <c r="I47" i="250"/>
  <c r="K47" i="250"/>
  <c r="M47" i="250" s="1"/>
  <c r="AS47" i="250"/>
  <c r="G48" i="250"/>
  <c r="AS48" i="250"/>
  <c r="G49" i="250"/>
  <c r="I49" i="250"/>
  <c r="K49" i="250"/>
  <c r="M49" i="250" s="1"/>
  <c r="AS49" i="250"/>
  <c r="G50" i="250"/>
  <c r="AS50" i="250"/>
  <c r="G51" i="250"/>
  <c r="K51" i="250"/>
  <c r="AS51" i="250"/>
  <c r="K52" i="250"/>
  <c r="AS52" i="250"/>
  <c r="G53" i="250"/>
  <c r="AS53" i="250"/>
  <c r="G54" i="250"/>
  <c r="I54" i="250"/>
  <c r="K54" i="250"/>
  <c r="M54" i="250" s="1"/>
  <c r="AS54" i="250"/>
  <c r="AM55" i="250"/>
  <c r="AO55" i="250"/>
  <c r="AO56" i="250" s="1"/>
  <c r="AQ55" i="250"/>
  <c r="AQ56" i="250" s="1"/>
  <c r="AS56" i="250" s="1"/>
  <c r="AM56" i="250"/>
  <c r="AC59" i="250"/>
  <c r="AK59" i="250"/>
  <c r="AS59" i="250"/>
  <c r="AU59" i="250"/>
  <c r="AW59" i="250"/>
  <c r="AY59" i="250"/>
  <c r="BA59" i="250"/>
  <c r="AY60" i="250"/>
  <c r="BA62" i="250"/>
  <c r="BA63" i="250"/>
  <c r="AS64" i="250"/>
  <c r="AM65" i="250"/>
  <c r="AO65" i="250"/>
  <c r="AQ65" i="250"/>
  <c r="AS65" i="250"/>
  <c r="AC67" i="250"/>
  <c r="AK67" i="250"/>
  <c r="AS67" i="250"/>
  <c r="BA67" i="250"/>
  <c r="AS68" i="250"/>
  <c r="AC69" i="250"/>
  <c r="AK69" i="250"/>
  <c r="AS69" i="250"/>
  <c r="AU69" i="250"/>
  <c r="AW69" i="250"/>
  <c r="M70" i="250"/>
  <c r="AU70" i="250"/>
  <c r="AW70" i="250"/>
  <c r="AY70" i="250"/>
  <c r="G71" i="250"/>
  <c r="I71" i="250"/>
  <c r="O71" i="250"/>
  <c r="Q71" i="250"/>
  <c r="S71" i="250"/>
  <c r="W71" i="250"/>
  <c r="Y71" i="250"/>
  <c r="AA71" i="250"/>
  <c r="AC71" i="250"/>
  <c r="AE71" i="250"/>
  <c r="AG71" i="250"/>
  <c r="AI71" i="250"/>
  <c r="AK71" i="250" s="1"/>
  <c r="AM71" i="250"/>
  <c r="AM73" i="250" s="1"/>
  <c r="AO71" i="250"/>
  <c r="AO73" i="250" s="1"/>
  <c r="AQ71" i="250"/>
  <c r="AQ73" i="250" s="1"/>
  <c r="AS73" i="250" s="1"/>
  <c r="AS71" i="250"/>
  <c r="AK23" i="250" l="1"/>
  <c r="U20" i="250"/>
  <c r="AY50" i="250"/>
  <c r="P26" i="251"/>
  <c r="AY16" i="250"/>
  <c r="BA16" i="250" s="1"/>
  <c r="M33" i="250"/>
  <c r="U16" i="250"/>
  <c r="AK45" i="250"/>
  <c r="AK29" i="250"/>
  <c r="AK46" i="250"/>
  <c r="AK41" i="250"/>
  <c r="AK18" i="250"/>
  <c r="AK53" i="250"/>
  <c r="AK48" i="250"/>
  <c r="AK43" i="250"/>
  <c r="AK38" i="250"/>
  <c r="AK39" i="250"/>
  <c r="AY28" i="250"/>
  <c r="BA70" i="250"/>
  <c r="M22" i="250"/>
  <c r="U15" i="250"/>
  <c r="M15" i="250"/>
  <c r="AU54" i="250"/>
  <c r="AU52" i="250"/>
  <c r="AU38" i="250"/>
  <c r="AY31" i="250"/>
  <c r="AW46" i="250"/>
  <c r="AU53" i="250"/>
  <c r="AC54" i="250"/>
  <c r="AW52" i="250"/>
  <c r="AU37" i="250"/>
  <c r="AK19" i="250"/>
  <c r="AW20" i="250"/>
  <c r="AU20" i="250"/>
  <c r="AY29" i="250"/>
  <c r="AW29" i="250"/>
  <c r="AU49" i="250"/>
  <c r="AW37" i="250"/>
  <c r="AW53" i="250"/>
  <c r="AY48" i="250"/>
  <c r="AU44" i="250"/>
  <c r="M20" i="250"/>
  <c r="AU15" i="250"/>
  <c r="AU48" i="250"/>
  <c r="M28" i="250"/>
  <c r="M50" i="250"/>
  <c r="M41" i="250"/>
  <c r="AU36" i="250"/>
  <c r="AU41" i="250"/>
  <c r="AY30" i="250"/>
  <c r="AY46" i="250"/>
  <c r="AY45" i="250"/>
  <c r="M35" i="250"/>
  <c r="M34" i="250"/>
  <c r="AU30" i="250"/>
  <c r="AW44" i="250"/>
  <c r="M39" i="250"/>
  <c r="E19" i="251"/>
  <c r="AI24" i="250"/>
  <c r="M52" i="250"/>
  <c r="AE24" i="250"/>
  <c r="AY19" i="250"/>
  <c r="AW48" i="250"/>
  <c r="M29" i="250"/>
  <c r="M23" i="250"/>
  <c r="AU23" i="250"/>
  <c r="AU16" i="250"/>
  <c r="W55" i="250"/>
  <c r="AW34" i="250"/>
  <c r="AW33" i="250"/>
  <c r="M38" i="250"/>
  <c r="O24" i="250"/>
  <c r="AW45" i="250"/>
  <c r="M18" i="250"/>
  <c r="U23" i="250"/>
  <c r="U53" i="250"/>
  <c r="AY38" i="250"/>
  <c r="AY18" i="250"/>
  <c r="M51" i="250"/>
  <c r="AW32" i="250"/>
  <c r="AA24" i="250"/>
  <c r="AU19" i="250"/>
  <c r="AY53" i="250"/>
  <c r="AU46" i="250"/>
  <c r="AY36" i="250"/>
  <c r="BA36" i="250" s="1"/>
  <c r="M31" i="250"/>
  <c r="O19" i="251"/>
  <c r="M45" i="250"/>
  <c r="AW18" i="250"/>
  <c r="M30" i="250"/>
  <c r="M46" i="250"/>
  <c r="AW30" i="250"/>
  <c r="AY22" i="250"/>
  <c r="M32" i="250"/>
  <c r="M48" i="250"/>
  <c r="AY52" i="250"/>
  <c r="S55" i="250"/>
  <c r="AY49" i="250"/>
  <c r="BA49" i="250" s="1"/>
  <c r="AC18" i="250"/>
  <c r="AW42" i="250"/>
  <c r="G24" i="250"/>
  <c r="AU35" i="250"/>
  <c r="AW19" i="250"/>
  <c r="AC20" i="250"/>
  <c r="AW35" i="250"/>
  <c r="AY41" i="250"/>
  <c r="AY37" i="250"/>
  <c r="BA37" i="250" s="1"/>
  <c r="M36" i="250"/>
  <c r="AE55" i="250"/>
  <c r="Q55" i="250"/>
  <c r="M53" i="250"/>
  <c r="AG55" i="250"/>
  <c r="K24" i="250"/>
  <c r="AY32" i="250"/>
  <c r="AI55" i="250"/>
  <c r="AK55" i="250" s="1"/>
  <c r="I24" i="250"/>
  <c r="AU33" i="250"/>
  <c r="AW38" i="250"/>
  <c r="AY43" i="250"/>
  <c r="AW54" i="250"/>
  <c r="M16" i="250"/>
  <c r="U38" i="250"/>
  <c r="AW49" i="250"/>
  <c r="AC43" i="250"/>
  <c r="AU32" i="250"/>
  <c r="M19" i="250"/>
  <c r="AU34" i="250"/>
  <c r="AA55" i="250"/>
  <c r="E31" i="251"/>
  <c r="AY69" i="250"/>
  <c r="AY71" i="250" s="1"/>
  <c r="M69" i="250"/>
  <c r="AW71" i="250"/>
  <c r="AW84" i="250" s="1"/>
  <c r="AW85" i="250" s="1"/>
  <c r="AU71" i="250"/>
  <c r="M71" i="250"/>
  <c r="AU45" i="250"/>
  <c r="G55" i="250"/>
  <c r="AK31" i="250"/>
  <c r="AW31" i="250"/>
  <c r="AU43" i="250"/>
  <c r="AU39" i="250"/>
  <c r="AW43" i="250"/>
  <c r="AU31" i="250"/>
  <c r="AW36" i="250"/>
  <c r="AW51" i="250"/>
  <c r="AW47" i="250"/>
  <c r="AW28" i="250"/>
  <c r="AY23" i="250"/>
  <c r="AG24" i="250"/>
  <c r="AW22" i="250"/>
  <c r="AU29" i="250"/>
  <c r="AY44" i="250"/>
  <c r="BA44" i="250" s="1"/>
  <c r="AW39" i="250"/>
  <c r="AY39" i="250"/>
  <c r="AY34" i="250"/>
  <c r="AW50" i="250"/>
  <c r="AY35" i="250"/>
  <c r="AU50" i="250"/>
  <c r="Y55" i="250"/>
  <c r="Y24" i="250"/>
  <c r="W24" i="250"/>
  <c r="AU18" i="250"/>
  <c r="AY33" i="250"/>
  <c r="AY51" i="250"/>
  <c r="AY54" i="250"/>
  <c r="AW41" i="250"/>
  <c r="AW40" i="250"/>
  <c r="O55" i="250"/>
  <c r="AU40" i="250"/>
  <c r="AU47" i="250"/>
  <c r="AU51" i="250"/>
  <c r="AU42" i="250"/>
  <c r="AY20" i="250"/>
  <c r="AW23" i="250"/>
  <c r="Q24" i="250"/>
  <c r="S24" i="250"/>
  <c r="AY15" i="250"/>
  <c r="AW15" i="250"/>
  <c r="O24" i="251"/>
  <c r="O31" i="251" s="1"/>
  <c r="AU28" i="250"/>
  <c r="AS55" i="250"/>
  <c r="K55" i="250"/>
  <c r="I55" i="250"/>
  <c r="AY47" i="250"/>
  <c r="BA47" i="250" s="1"/>
  <c r="AY42" i="250"/>
  <c r="BA42" i="250" s="1"/>
  <c r="AY40" i="250"/>
  <c r="AU22" i="250"/>
  <c r="BA30" i="250" l="1"/>
  <c r="BA28" i="250"/>
  <c r="BA33" i="250"/>
  <c r="AC24" i="250"/>
  <c r="BA46" i="250"/>
  <c r="BA31" i="250"/>
  <c r="BA29" i="250"/>
  <c r="BA15" i="250"/>
  <c r="W56" i="250"/>
  <c r="W61" i="250" s="1"/>
  <c r="BA18" i="250"/>
  <c r="G56" i="250"/>
  <c r="BA52" i="250"/>
  <c r="AK24" i="250"/>
  <c r="BA53" i="250"/>
  <c r="BA48" i="250"/>
  <c r="U55" i="250"/>
  <c r="AE56" i="250"/>
  <c r="AE61" i="250" s="1"/>
  <c r="AE65" i="250" s="1"/>
  <c r="AE68" i="250" s="1"/>
  <c r="BA23" i="250"/>
  <c r="BA19" i="250"/>
  <c r="AG56" i="250"/>
  <c r="AG61" i="250" s="1"/>
  <c r="AG65" i="250" s="1"/>
  <c r="AG68" i="250" s="1"/>
  <c r="BA38" i="250"/>
  <c r="BA22" i="250"/>
  <c r="BA20" i="250"/>
  <c r="AC55" i="250"/>
  <c r="M24" i="250"/>
  <c r="AA56" i="250"/>
  <c r="AA61" i="250" s="1"/>
  <c r="BA32" i="250"/>
  <c r="BA45" i="250"/>
  <c r="I56" i="250"/>
  <c r="BA34" i="250"/>
  <c r="BA39" i="250"/>
  <c r="AI56" i="250"/>
  <c r="AI61" i="250" s="1"/>
  <c r="O56" i="250"/>
  <c r="O64" i="250" s="1"/>
  <c r="BA35" i="250"/>
  <c r="BA41" i="250"/>
  <c r="BA43" i="250"/>
  <c r="BA54" i="250"/>
  <c r="Y56" i="250"/>
  <c r="S56" i="250"/>
  <c r="S64" i="250" s="1"/>
  <c r="Q56" i="250"/>
  <c r="AW55" i="250"/>
  <c r="BC55" i="250" s="1"/>
  <c r="AU24" i="250"/>
  <c r="BB24" i="250" s="1"/>
  <c r="BA69" i="250"/>
  <c r="BA71" i="250"/>
  <c r="BA50" i="250"/>
  <c r="BA51" i="250"/>
  <c r="AU55" i="250"/>
  <c r="AY24" i="250"/>
  <c r="AY78" i="250" s="1"/>
  <c r="U24" i="250"/>
  <c r="AW24" i="250"/>
  <c r="M55" i="250"/>
  <c r="BA40" i="250"/>
  <c r="AY55" i="250"/>
  <c r="AY80" i="250" s="1"/>
  <c r="K56" i="250"/>
  <c r="AK56" i="250" l="1"/>
  <c r="AI65" i="250"/>
  <c r="AK65" i="250" s="1"/>
  <c r="AK61" i="250"/>
  <c r="AC56" i="250"/>
  <c r="AG73" i="250"/>
  <c r="AG75" i="250" s="1"/>
  <c r="AE73" i="250"/>
  <c r="AE75" i="250" s="1"/>
  <c r="AI68" i="250"/>
  <c r="AK68" i="250" s="1"/>
  <c r="BA55" i="250"/>
  <c r="Q64" i="250"/>
  <c r="U64" i="250" s="1"/>
  <c r="AI73" i="250"/>
  <c r="AK73" i="250" s="1"/>
  <c r="G61" i="250"/>
  <c r="O65" i="250"/>
  <c r="O68" i="250" s="1"/>
  <c r="O73" i="250" s="1"/>
  <c r="O75" i="250" s="1"/>
  <c r="AU56" i="250"/>
  <c r="BB55" i="250"/>
  <c r="K64" i="250"/>
  <c r="AA65" i="250"/>
  <c r="U56" i="250"/>
  <c r="K61" i="250"/>
  <c r="S65" i="250"/>
  <c r="S68" i="250" s="1"/>
  <c r="S73" i="250" s="1"/>
  <c r="U73" i="250" s="1"/>
  <c r="AW56" i="250"/>
  <c r="BC24" i="250"/>
  <c r="Y61" i="250"/>
  <c r="AC61" i="250" s="1"/>
  <c r="G64" i="250"/>
  <c r="AU64" i="250" s="1"/>
  <c r="W65" i="250"/>
  <c r="W68" i="250" s="1"/>
  <c r="W73" i="250" s="1"/>
  <c r="W75" i="250" s="1"/>
  <c r="BA24" i="250"/>
  <c r="M56" i="250"/>
  <c r="AY56" i="250"/>
  <c r="AY64" i="250" l="1"/>
  <c r="AY61" i="250"/>
  <c r="K65" i="250"/>
  <c r="AA68" i="250"/>
  <c r="AU61" i="250"/>
  <c r="AU65" i="250" s="1"/>
  <c r="AU73" i="250" s="1"/>
  <c r="G65" i="250"/>
  <c r="G68" i="250" s="1"/>
  <c r="G73" i="250" s="1"/>
  <c r="I64" i="250"/>
  <c r="AW64" i="250" s="1"/>
  <c r="Y65" i="250"/>
  <c r="Y68" i="250" s="1"/>
  <c r="Y73" i="250" s="1"/>
  <c r="Y75" i="250" s="1"/>
  <c r="I61" i="250"/>
  <c r="Q65" i="250"/>
  <c r="Q68" i="250" s="1"/>
  <c r="Q73" i="250" s="1"/>
  <c r="Q75" i="250" s="1"/>
  <c r="BA56" i="250"/>
  <c r="BA64" i="250" l="1"/>
  <c r="AU68" i="250"/>
  <c r="AC65" i="250"/>
  <c r="AW61" i="250"/>
  <c r="AW65" i="250" s="1"/>
  <c r="I65" i="250"/>
  <c r="I68" i="250" s="1"/>
  <c r="I73" i="250" s="1"/>
  <c r="AA73" i="250"/>
  <c r="AC73" i="250" s="1"/>
  <c r="AC68" i="250"/>
  <c r="K68" i="250"/>
  <c r="AY65" i="250"/>
  <c r="BA61" i="250"/>
  <c r="M61" i="250"/>
  <c r="U65" i="250"/>
  <c r="M64" i="250"/>
  <c r="M65" i="250" l="1"/>
  <c r="AY68" i="250"/>
  <c r="AY73" i="250"/>
  <c r="K73" i="250"/>
  <c r="M73" i="250" s="1"/>
  <c r="M68" i="250"/>
  <c r="BA65" i="250"/>
  <c r="AW73" i="250"/>
  <c r="AW68" i="250"/>
  <c r="O34" i="251"/>
  <c r="E38" i="251"/>
  <c r="O38" i="251" s="1"/>
  <c r="O40" i="251" s="1"/>
  <c r="BA68" i="250" l="1"/>
  <c r="BA73" i="250"/>
  <c r="O41" i="251"/>
  <c r="AW75" i="250"/>
  <c r="AU75" i="250"/>
  <c r="E40" i="251"/>
  <c r="Q41" i="251" l="1"/>
  <c r="O42" i="251"/>
  <c r="E41" i="251"/>
  <c r="E42" i="251" s="1"/>
  <c r="G79" i="250"/>
  <c r="I79" i="250" l="1"/>
  <c r="I75" i="250" s="1"/>
  <c r="G75" i="25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jocelyn jordan</author>
  </authors>
  <commentList>
    <comment ref="E17" authorId="0" shapeId="0" xr:uid="{1779792C-5CDD-4762-AA0E-E83A8C540240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add debit payroll liab balance for FS presentation</t>
        </r>
      </text>
    </comment>
    <comment ref="E27" authorId="0" shapeId="0" xr:uid="{7FE63701-8F32-40FF-A662-B87B50CBC194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take out debit balance of payroll liab for FS presenation and put above</t>
        </r>
      </text>
    </comment>
    <comment ref="E28" authorId="0" shapeId="0" xr:uid="{36D020C9-CAFB-4549-8B42-D55DB303FE57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move debit balance to assets for fs presentation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Jocelyn Jordan</author>
    <author>jocelyn jordan</author>
  </authors>
  <commentList>
    <comment ref="K23" authorId="0" shapeId="0" xr:uid="{6B81DCEA-5CB0-4836-94B7-D8D2D50502A4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add loan proceeds to budget for fs reporting (see offset at 7400)</t>
        </r>
      </text>
    </comment>
    <comment ref="I39" authorId="1" shapeId="0" xr:uid="{7D7753F0-AF48-4DDA-BEB3-73339C92E81B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moved $37K of audit fees to here from 7200 (corrected in intacct after report was ran)</t>
        </r>
      </text>
    </comment>
    <comment ref="I45" authorId="0" shapeId="0" xr:uid="{AD730161-7B80-40F0-BD5A-71CD3AEEE773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rounding
</t>
        </r>
      </text>
    </comment>
    <comment ref="K45" authorId="0" shapeId="0" xr:uid="{8779DED5-EF87-47F7-A016-A951CD5A8544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add construction loan draw expenses to budget for fs reporting (see offset at 34XX)</t>
        </r>
      </text>
    </comment>
    <comment ref="AY68" authorId="1" shapeId="0" xr:uid="{556A151E-AFF6-472D-BBC1-07614C9395A9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Prior period savings less anticipated savings</t>
        </r>
      </text>
    </comment>
    <comment ref="G69" authorId="0" shapeId="0" xr:uid="{F5A034BD-BC41-4893-B7BD-AFC5E7D4B58D}">
      <text>
        <r>
          <rPr>
            <sz val="11"/>
            <color theme="1"/>
            <rFont val="Calibri"/>
            <family val="2"/>
            <scheme val="minor"/>
          </rPr>
          <t>Jocelyn Jordan:
ties to 3/31/26 district fs</t>
        </r>
      </text>
    </comment>
    <comment ref="I69" authorId="0" shapeId="0" xr:uid="{D3CFF498-A193-4EA7-96B7-9CDD2FB4CACA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ties to 6/30/25 district fs</t>
        </r>
      </text>
    </comment>
    <comment ref="AW69" authorId="0" shapeId="0" xr:uid="{B8DCC92D-CC48-4356-8C55-14B7254D7E80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ties to 6/30/25 district fs</t>
        </r>
      </text>
    </comment>
    <comment ref="G70" authorId="0" shapeId="0" xr:uid="{E92BA6F4-0E3F-48ED-B7B3-7E5F39F5003B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chnages in accounting after report was issued</t>
        </r>
      </text>
    </comment>
    <comment ref="I70" authorId="0" shapeId="0" xr:uid="{7B9E86EE-6257-4E82-86C5-0409DAF98043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June YE audit adjustments after report issued</t>
        </r>
      </text>
    </comment>
    <comment ref="AW71" authorId="0" shapeId="0" xr:uid="{2C5734E2-D75B-4A2E-933D-60D79CE13997}">
      <text>
        <r>
          <rPr>
            <b/>
            <sz val="9"/>
            <color indexed="81"/>
            <rFont val="Tahoma"/>
            <family val="2"/>
          </rPr>
          <t>Jocelyn Jordan:</t>
        </r>
        <r>
          <rPr>
            <sz val="9"/>
            <color indexed="81"/>
            <rFont val="Tahoma"/>
            <family val="2"/>
          </rPr>
          <t xml:space="preserve">
ties to 6/30/25 audited fs pg 30 less PPA transfer entry</t>
        </r>
      </text>
    </comment>
  </commentList>
</comments>
</file>

<file path=xl/sharedStrings.xml><?xml version="1.0" encoding="utf-8"?>
<sst xmlns="http://schemas.openxmlformats.org/spreadsheetml/2006/main" count="1179" uniqueCount="495">
  <si>
    <t>School Name</t>
  </si>
  <si>
    <t>MSID</t>
  </si>
  <si>
    <t xml:space="preserve">Projected Enrollment </t>
  </si>
  <si>
    <t>Actual Enrollment</t>
  </si>
  <si>
    <t>Balance Sheet</t>
  </si>
  <si>
    <t>Assets</t>
  </si>
  <si>
    <t>General Fund</t>
  </si>
  <si>
    <t>Special Revenue Fund</t>
  </si>
  <si>
    <t>Debt Service</t>
  </si>
  <si>
    <t>Capital Outlay</t>
  </si>
  <si>
    <t>Total Gov't Fund</t>
  </si>
  <si>
    <t>Cash and Cash Equivalents</t>
  </si>
  <si>
    <t>Grant Receivables</t>
  </si>
  <si>
    <t>Investments</t>
  </si>
  <si>
    <t>Other Current Assets</t>
  </si>
  <si>
    <t>Deposits</t>
  </si>
  <si>
    <t>Total Assets</t>
  </si>
  <si>
    <t>Liabilities</t>
  </si>
  <si>
    <t>Accounts Payable</t>
  </si>
  <si>
    <t>Salaries, Benefits, and Payroll Taxes Payable</t>
  </si>
  <si>
    <t>Deferred Revenue</t>
  </si>
  <si>
    <t>Notes Payable</t>
  </si>
  <si>
    <t>Total Liabilities</t>
  </si>
  <si>
    <t>Fund Balance</t>
  </si>
  <si>
    <t>Nonspendable, Restricted, Committed</t>
  </si>
  <si>
    <t>Unassigned and Assigned</t>
  </si>
  <si>
    <t>Total Liabilities and Fund Balance</t>
  </si>
  <si>
    <t>Statement of Revenue, Expenditures, and Changes in Fund Balance</t>
  </si>
  <si>
    <t>Revenues</t>
  </si>
  <si>
    <t>Month/Quarter Ending ______________</t>
  </si>
  <si>
    <t>YTD</t>
  </si>
  <si>
    <t>Annual Budget</t>
  </si>
  <si>
    <t xml:space="preserve"> </t>
  </si>
  <si>
    <t>FEFP</t>
  </si>
  <si>
    <t>Federal Pass Through Grant</t>
  </si>
  <si>
    <t>Charter School Capital Outlay</t>
  </si>
  <si>
    <t>Other</t>
  </si>
  <si>
    <t>Total Revenues</t>
  </si>
  <si>
    <t>Expenditures</t>
  </si>
  <si>
    <t>Instruction</t>
  </si>
  <si>
    <t>Instructional Support Services</t>
  </si>
  <si>
    <t>Board</t>
  </si>
  <si>
    <t>School Administration</t>
  </si>
  <si>
    <t>Facilities and Acquisition</t>
  </si>
  <si>
    <t>Fiscal Services</t>
  </si>
  <si>
    <t>Food Services</t>
  </si>
  <si>
    <t>Central Services</t>
  </si>
  <si>
    <t>Pupil Transportation Services</t>
  </si>
  <si>
    <t>Operation of Plant</t>
  </si>
  <si>
    <t>70XX</t>
  </si>
  <si>
    <t>Other General Support Services</t>
  </si>
  <si>
    <t>Maintenance of Plant</t>
  </si>
  <si>
    <t>Administrative Technology Services</t>
  </si>
  <si>
    <t>Community Services</t>
  </si>
  <si>
    <t xml:space="preserve">Other  </t>
  </si>
  <si>
    <t>Total Current Expenditures</t>
  </si>
  <si>
    <t>Other Financing Sources</t>
  </si>
  <si>
    <t>Transfers In</t>
  </si>
  <si>
    <t>Transfers Out</t>
  </si>
  <si>
    <t>Net Changes in Fund Balance</t>
  </si>
  <si>
    <t>Fund Balance- Beginning of Period</t>
  </si>
  <si>
    <t>Fund Balance- End of Period</t>
  </si>
  <si>
    <t>Trinity</t>
  </si>
  <si>
    <t>Statement of Financial Position</t>
  </si>
  <si>
    <t>Reporting Book:</t>
  </si>
  <si>
    <t>ACCRUAL</t>
  </si>
  <si>
    <t>As of Date:</t>
  </si>
  <si>
    <t>EntityFund:</t>
  </si>
  <si>
    <t>Trinity School for Children</t>
  </si>
  <si>
    <t>Current Year</t>
  </si>
  <si>
    <t>Prior Year</t>
  </si>
  <si>
    <t xml:space="preserve">  Assets</t>
  </si>
  <si>
    <t xml:space="preserve">  </t>
  </si>
  <si>
    <t xml:space="preserve">    Cash and Cash Equivalents</t>
  </si>
  <si>
    <t xml:space="preserve">    </t>
  </si>
  <si>
    <t xml:space="preserve">      111010 - USAB Deferred Revenue Account</t>
  </si>
  <si>
    <t xml:space="preserve">      111011 - USAB Annual Fund Account</t>
  </si>
  <si>
    <t xml:space="preserve">      111012 - USAB Special Projects Account</t>
  </si>
  <si>
    <t xml:space="preserve">      111013 - USAB Reserve Account</t>
  </si>
  <si>
    <t xml:space="preserve">      111015 - Capital Campaign Account</t>
  </si>
  <si>
    <t xml:space="preserve">      111050 - USAB Business Money Market Account</t>
  </si>
  <si>
    <t xml:space="preserve">      111200 - Petty Cash</t>
  </si>
  <si>
    <t xml:space="preserve">      111700 - Undeposited Funds</t>
  </si>
  <si>
    <t xml:space="preserve">    Total Cash and Cash Equivalents</t>
  </si>
  <si>
    <t xml:space="preserve">    Accounts Receivable</t>
  </si>
  <si>
    <t xml:space="preserve">      113100 - Accounts Receivable</t>
  </si>
  <si>
    <t xml:space="preserve">      113200 - Employee Tuition Receivable</t>
  </si>
  <si>
    <t xml:space="preserve">      113300 - FACTS accounts receivable</t>
  </si>
  <si>
    <t xml:space="preserve">      113400 - AR Clearing Account</t>
  </si>
  <si>
    <t xml:space="preserve">    Total Accounts Receivable</t>
  </si>
  <si>
    <t xml:space="preserve">    Other Current Assets</t>
  </si>
  <si>
    <t xml:space="preserve">      121001 - FACTS Suspense account</t>
  </si>
  <si>
    <t xml:space="preserve">      121002 - FACTS Payment at institution</t>
  </si>
  <si>
    <t xml:space="preserve">      123101 - Prepaid Insurance</t>
  </si>
  <si>
    <t xml:space="preserve">      123102 - AMEX Clearing Account</t>
  </si>
  <si>
    <t xml:space="preserve">      123103 - Fingerprinting Clearing Account</t>
  </si>
  <si>
    <t xml:space="preserve">      123104 - Prepaid FACTS fees - Next fiscal year</t>
  </si>
  <si>
    <t xml:space="preserve">      124000 - Payroll Advance</t>
  </si>
  <si>
    <t xml:space="preserve">      115000 - Other Receivables</t>
  </si>
  <si>
    <t xml:space="preserve">      116000 - Promises to Give</t>
  </si>
  <si>
    <t xml:space="preserve">    Total Other Current Assets</t>
  </si>
  <si>
    <t xml:space="preserve">    Fixed Assets</t>
  </si>
  <si>
    <t xml:space="preserve">      131000 - Land</t>
  </si>
  <si>
    <t xml:space="preserve">      131500 - Land Improvements</t>
  </si>
  <si>
    <t xml:space="preserve">      133000 - Buildings and Fixed Equipment</t>
  </si>
  <si>
    <t xml:space="preserve">      134000 - Furniture, Fixtures and Equipment</t>
  </si>
  <si>
    <t xml:space="preserve">      134900 - Accumulated Depreciation</t>
  </si>
  <si>
    <t xml:space="preserve">      136000 - Construction in Progress</t>
  </si>
  <si>
    <t xml:space="preserve">    Total Fixed Assets</t>
  </si>
  <si>
    <t xml:space="preserve">  Total Assets</t>
  </si>
  <si>
    <t xml:space="preserve">  Liabilities</t>
  </si>
  <si>
    <t xml:space="preserve">    Accrued Salaries and Benefits</t>
  </si>
  <si>
    <t xml:space="preserve">      211000 - Accrued Salaries and Benefits</t>
  </si>
  <si>
    <t xml:space="preserve">    Total Accrued Salaries and Benefits</t>
  </si>
  <si>
    <t xml:space="preserve">    Accounts Payable</t>
  </si>
  <si>
    <t xml:space="preserve">      212000 - Accounts Payable</t>
  </si>
  <si>
    <t xml:space="preserve">      212010 - AMEX Credit Card Liability</t>
  </si>
  <si>
    <t xml:space="preserve">    Total Accounts Payable</t>
  </si>
  <si>
    <t xml:space="preserve">    Due to Other Funds</t>
  </si>
  <si>
    <t xml:space="preserve">      216300 - Due to PPA</t>
  </si>
  <si>
    <t xml:space="preserve">      216400 - Due To Field Trip</t>
  </si>
  <si>
    <t xml:space="preserve">    Total Due to Other Funds</t>
  </si>
  <si>
    <t xml:space="preserve">    Payroll Deductions and Withholdings</t>
  </si>
  <si>
    <t xml:space="preserve">      217001 - 401(k) Contributions</t>
  </si>
  <si>
    <t xml:space="preserve">      217004 - Dental Insurance</t>
  </si>
  <si>
    <t xml:space="preserve">      217007 - Field Trips</t>
  </si>
  <si>
    <t xml:space="preserve">      217010 - HSA Contributions</t>
  </si>
  <si>
    <t xml:space="preserve">      217011 - Life Insurance - Child</t>
  </si>
  <si>
    <t xml:space="preserve">      217012 - Life Insurance - Employee</t>
  </si>
  <si>
    <t xml:space="preserve">      217013 - Life Insurance - Spouse</t>
  </si>
  <si>
    <t xml:space="preserve">      217015 - Other</t>
  </si>
  <si>
    <t xml:space="preserve">      217016 - Roth 401(k) Contributions</t>
  </si>
  <si>
    <t xml:space="preserve">      217017 - Short Term Disability</t>
  </si>
  <si>
    <t xml:space="preserve">      217020 - Vision Insurance</t>
  </si>
  <si>
    <t xml:space="preserve">      217022 - Accident Insurance</t>
  </si>
  <si>
    <t xml:space="preserve">      217023 - Cancer Insurance</t>
  </si>
  <si>
    <t xml:space="preserve">      217024 - Hospital Indemnity Insurance</t>
  </si>
  <si>
    <t xml:space="preserve">      217025 - Critical Illness Insurance</t>
  </si>
  <si>
    <t xml:space="preserve">    Total Payroll Deductions and Withholdings</t>
  </si>
  <si>
    <t xml:space="preserve">    Other Current Liabilities</t>
  </si>
  <si>
    <t xml:space="preserve">      220011 - FACTS Prepaid tuition &amp; fees - Next fiscal year</t>
  </si>
  <si>
    <t xml:space="preserve">      221000 - Accrued Interest</t>
  </si>
  <si>
    <t xml:space="preserve">    Total Other Current Liabilities</t>
  </si>
  <si>
    <t xml:space="preserve">    Debt/Capital Lease</t>
  </si>
  <si>
    <t xml:space="preserve">      231002 - Series 2015A Note</t>
  </si>
  <si>
    <t xml:space="preserve">      231003 - Series 2015B Note</t>
  </si>
  <si>
    <t xml:space="preserve">      231004 - Loan Payable</t>
  </si>
  <si>
    <t xml:space="preserve">      231007 - Loan Issuance Costs</t>
  </si>
  <si>
    <t xml:space="preserve">    Total Debt/Capital Lease</t>
  </si>
  <si>
    <t xml:space="preserve">    Deferred Revenue</t>
  </si>
  <si>
    <t xml:space="preserve">      241309 - Deferred Tuition / Deposits 23/24</t>
  </si>
  <si>
    <t xml:space="preserve">      241310 - Deferred Tuition / Deposits 24/25</t>
  </si>
  <si>
    <t xml:space="preserve">      241311 - Deferred Revenue</t>
  </si>
  <si>
    <t xml:space="preserve">      241312 - Deferred Tuition / Deposits 25/26</t>
  </si>
  <si>
    <t xml:space="preserve">      241400 - Early childhood tuition</t>
  </si>
  <si>
    <t xml:space="preserve">      241401 - K-8 Extended day contract</t>
  </si>
  <si>
    <t xml:space="preserve">      241500 - Discounts - other</t>
  </si>
  <si>
    <t xml:space="preserve">      241501 - Discounts - sibling</t>
  </si>
  <si>
    <t xml:space="preserve">      241502 - Discounts - Staff-Early Childhood</t>
  </si>
  <si>
    <t xml:space="preserve">      241503 - Discounts - Staff-Extended Day contracted</t>
  </si>
  <si>
    <t xml:space="preserve">      241504 - Family aid</t>
  </si>
  <si>
    <t xml:space="preserve">      241505 - Scholarship</t>
  </si>
  <si>
    <t xml:space="preserve">    Total Deferred Revenue</t>
  </si>
  <si>
    <t xml:space="preserve">  Total Liabilities</t>
  </si>
  <si>
    <t xml:space="preserve">  Net Assets</t>
  </si>
  <si>
    <t xml:space="preserve">  Liabilities and Net Assets</t>
  </si>
  <si>
    <t>Prepaids</t>
  </si>
  <si>
    <t>Statement of Activities CY vs PY</t>
  </si>
  <si>
    <t>Fiscal YTD</t>
  </si>
  <si>
    <t>Prior Year To Date</t>
  </si>
  <si>
    <t>Diff $</t>
  </si>
  <si>
    <t>Actual</t>
  </si>
  <si>
    <t xml:space="preserve">  Revenue</t>
  </si>
  <si>
    <t xml:space="preserve">    Revenues from State Sources</t>
  </si>
  <si>
    <t xml:space="preserve">      331000 - FEFP Revenue</t>
  </si>
  <si>
    <t xml:space="preserve">      336104 - Teacher Workshop Funds</t>
  </si>
  <si>
    <t xml:space="preserve">    Revenue from Local Sources</t>
  </si>
  <si>
    <t xml:space="preserve">      Gifts, Grants and Bequests</t>
  </si>
  <si>
    <t xml:space="preserve">      </t>
  </si>
  <si>
    <t xml:space="preserve">        344000 - Gifs, Grants and Bequests</t>
  </si>
  <si>
    <t xml:space="preserve">      Total Gifts, Grants and Bequests</t>
  </si>
  <si>
    <t xml:space="preserve">      Other Fees Revenue</t>
  </si>
  <si>
    <t xml:space="preserve">        347100 - EC Program Fees</t>
  </si>
  <si>
    <t xml:space="preserve">        347104 - Discounts - Staff - Early Childhood</t>
  </si>
  <si>
    <t xml:space="preserve">        347300 - Aftercare Fees</t>
  </si>
  <si>
    <t xml:space="preserve">        347302 - Late Fees Extended Day</t>
  </si>
  <si>
    <t xml:space="preserve">        347305 - Discounts - Other</t>
  </si>
  <si>
    <t xml:space="preserve">        347306 - Discounts - Sibling</t>
  </si>
  <si>
    <t xml:space="preserve">        347307 - Discounts - Staff - Extended Day Contracted</t>
  </si>
  <si>
    <t xml:space="preserve">        347308 - Family Aid</t>
  </si>
  <si>
    <t xml:space="preserve">        348901 - Donations</t>
  </si>
  <si>
    <t xml:space="preserve">        348903 - Other Revenue</t>
  </si>
  <si>
    <t xml:space="preserve">      Total Other Fees Revenue</t>
  </si>
  <si>
    <t xml:space="preserve">    Total Revenue from Local Sources</t>
  </si>
  <si>
    <t xml:space="preserve">    Other Income</t>
  </si>
  <si>
    <t xml:space="preserve">      343100 - Interest Revenue</t>
  </si>
  <si>
    <t xml:space="preserve">    Total Other Income</t>
  </si>
  <si>
    <t xml:space="preserve">    Other Miscellaneous Local Sources</t>
  </si>
  <si>
    <t xml:space="preserve">      349500 - Other Misc Local Sources</t>
  </si>
  <si>
    <t xml:space="preserve">    Total Other Miscellaneous Local Sources</t>
  </si>
  <si>
    <t xml:space="preserve">  Total Revenue</t>
  </si>
  <si>
    <t xml:space="preserve">  Expenses</t>
  </si>
  <si>
    <t xml:space="preserve">    Salaries</t>
  </si>
  <si>
    <t xml:space="preserve">      511000 - Administrator Salaries</t>
  </si>
  <si>
    <t xml:space="preserve">      512000 - Classroom Teacher</t>
  </si>
  <si>
    <t xml:space="preserve">      513000 - Other Certifierd Salaries</t>
  </si>
  <si>
    <t xml:space="preserve">      514000 - Substitute Teacher Salaries</t>
  </si>
  <si>
    <t xml:space="preserve">      516000 - Other Support Personnel</t>
  </si>
  <si>
    <t xml:space="preserve">    Total Salaries</t>
  </si>
  <si>
    <t xml:space="preserve">    Employee Benefits</t>
  </si>
  <si>
    <t xml:space="preserve">      521000 - Employee Benefits - Retirement</t>
  </si>
  <si>
    <t xml:space="preserve">      522000 - Employee Benefits - FICA</t>
  </si>
  <si>
    <t xml:space="preserve">      523000 - Employee Benefits - Health Insurance</t>
  </si>
  <si>
    <t xml:space="preserve">    Total Employee Benefits</t>
  </si>
  <si>
    <t xml:space="preserve">    Purchased Services</t>
  </si>
  <si>
    <t xml:space="preserve">      Other Purchased Services</t>
  </si>
  <si>
    <t xml:space="preserve">        530000 - Purchased Services</t>
  </si>
  <si>
    <t xml:space="preserve">        539000 - Other Purchased Services</t>
  </si>
  <si>
    <t xml:space="preserve">        539100 - FACTS Credit card fees (discount)</t>
  </si>
  <si>
    <t xml:space="preserve">        539101 - FACTS Enrollment fee - payment plan</t>
  </si>
  <si>
    <t xml:space="preserve">      Total Other Purchased Services</t>
  </si>
  <si>
    <t xml:space="preserve">      Professional and Technical Services</t>
  </si>
  <si>
    <t xml:space="preserve">        531000 - Professional &amp; Technical Services</t>
  </si>
  <si>
    <t xml:space="preserve">        531001 - Accounting Services</t>
  </si>
  <si>
    <t xml:space="preserve">        531002 - Legal</t>
  </si>
  <si>
    <t xml:space="preserve">        531003 - IT Consulting</t>
  </si>
  <si>
    <t xml:space="preserve">      Total Professional and Technical Services</t>
  </si>
  <si>
    <t xml:space="preserve">      Insurance General</t>
  </si>
  <si>
    <t xml:space="preserve">        532000 - Insurance</t>
  </si>
  <si>
    <t xml:space="preserve">        532002 - Property, Liability Insurance</t>
  </si>
  <si>
    <t xml:space="preserve">      Total Insurance General</t>
  </si>
  <si>
    <t xml:space="preserve">      Repairs and Maintenance</t>
  </si>
  <si>
    <t xml:space="preserve">        535000 - Repairs and Maintenance</t>
  </si>
  <si>
    <t xml:space="preserve">      Total Repairs and Maintenance</t>
  </si>
  <si>
    <t xml:space="preserve">      Rentals</t>
  </si>
  <si>
    <t xml:space="preserve">        536000 - Rentals</t>
  </si>
  <si>
    <t xml:space="preserve">        536900 - Technology-Related Rentals</t>
  </si>
  <si>
    <t xml:space="preserve">      Total Rentals</t>
  </si>
  <si>
    <t xml:space="preserve">      Communications</t>
  </si>
  <si>
    <t xml:space="preserve">        537900 - Telephone and Other Data Communication Services</t>
  </si>
  <si>
    <t xml:space="preserve">      Total Communications</t>
  </si>
  <si>
    <t xml:space="preserve">      Garbage, Water &amp; Sewer</t>
  </si>
  <si>
    <t xml:space="preserve">        538000 - Garbage, Water &amp; Sewer</t>
  </si>
  <si>
    <t xml:space="preserve">        538005 - Recycling</t>
  </si>
  <si>
    <t xml:space="preserve">      Total Garbage, Water &amp; Sewer</t>
  </si>
  <si>
    <t xml:space="preserve">    Total Purchased Services</t>
  </si>
  <si>
    <t xml:space="preserve">    Energy Services</t>
  </si>
  <si>
    <t xml:space="preserve">      543000 - Electricity</t>
  </si>
  <si>
    <t xml:space="preserve">    Total Energy Services</t>
  </si>
  <si>
    <t xml:space="preserve">    Materials and Supplies</t>
  </si>
  <si>
    <t xml:space="preserve">      Supplies</t>
  </si>
  <si>
    <t xml:space="preserve">        550000 - Materials and Supplies</t>
  </si>
  <si>
    <t xml:space="preserve">        551000 - Office Supplies</t>
  </si>
  <si>
    <t xml:space="preserve">      Total Supplies</t>
  </si>
  <si>
    <t xml:space="preserve">      Textbooks</t>
  </si>
  <si>
    <t xml:space="preserve">        552000 - Textbooks</t>
  </si>
  <si>
    <t xml:space="preserve">      Total Textbooks</t>
  </si>
  <si>
    <t xml:space="preserve">    Total Materials and Supplies</t>
  </si>
  <si>
    <t xml:space="preserve">    Capital Outlays</t>
  </si>
  <si>
    <t xml:space="preserve">      Buildings and Fixed Equipment</t>
  </si>
  <si>
    <t xml:space="preserve">        563000 - Buildings and Fixed Equipment</t>
  </si>
  <si>
    <t xml:space="preserve">      Total Buildings and Fixed Equipment</t>
  </si>
  <si>
    <t xml:space="preserve">      Furniture, Fixtures &amp; Equipment</t>
  </si>
  <si>
    <t xml:space="preserve">        564200 - Noncapitalized FFE</t>
  </si>
  <si>
    <t xml:space="preserve">      Total Furniture, Fixtures &amp; Equipment</t>
  </si>
  <si>
    <t xml:space="preserve">      Computer Software</t>
  </si>
  <si>
    <t xml:space="preserve">        569200 - Noncapitalized Computer Software</t>
  </si>
  <si>
    <t xml:space="preserve">      Total Computer Software</t>
  </si>
  <si>
    <t xml:space="preserve">    Total Capital Outlays</t>
  </si>
  <si>
    <t xml:space="preserve">    Other Expenses</t>
  </si>
  <si>
    <t xml:space="preserve">      571000 - Redemption of Prinicple</t>
  </si>
  <si>
    <t xml:space="preserve">      573000 - Dues and Subscriptions</t>
  </si>
  <si>
    <t xml:space="preserve">      579000 - Bank Service Charges and Misc Expenses</t>
  </si>
  <si>
    <t xml:space="preserve">      579900 - Miscellaneous Technology-Related</t>
  </si>
  <si>
    <t xml:space="preserve">    Total Other Expenses</t>
  </si>
  <si>
    <t xml:space="preserve">  Total Expenses</t>
  </si>
  <si>
    <t xml:space="preserve">  Change in Net Assets</t>
  </si>
  <si>
    <t>By Job</t>
  </si>
  <si>
    <t>RESTRICTED DONATIONS</t>
  </si>
  <si>
    <t>Capital Campaign-general donor restriction</t>
  </si>
  <si>
    <t>Faculty Lounge</t>
  </si>
  <si>
    <t>Donor Wall</t>
  </si>
  <si>
    <t>Humanities Classroom</t>
  </si>
  <si>
    <t>Scorer's Table</t>
  </si>
  <si>
    <t>Music Studio</t>
  </si>
  <si>
    <t>Career Hall</t>
  </si>
  <si>
    <t>Workout Room</t>
  </si>
  <si>
    <t>Language Lab</t>
  </si>
  <si>
    <t>Concession Stand</t>
  </si>
  <si>
    <t>STEAM Lab</t>
  </si>
  <si>
    <t>Video Production Loft</t>
  </si>
  <si>
    <t>Capital Campaign-Athletics &amp; Arts Center</t>
  </si>
  <si>
    <t>Capital Campaign-Athletics &amp; Arts Center (All)</t>
  </si>
  <si>
    <t>CAPITAL CAMPAIGN RESTRICTED DONATIONS</t>
  </si>
  <si>
    <t>CAPITAL CAMPAIGN RESTRICTED DONATIONS (All)</t>
  </si>
  <si>
    <t>RESTRICTED DONATIONS (All)</t>
  </si>
  <si>
    <t>Month Ended</t>
  </si>
  <si>
    <t>YTD Through</t>
  </si>
  <si>
    <t xml:space="preserve">  Net Assets Ending Balance</t>
  </si>
  <si>
    <t>Statement of Revenue, Expenditures, and Changes in Fund Balance (Unaudited)</t>
  </si>
  <si>
    <t>100--Trinity School for Children</t>
  </si>
  <si>
    <t>Special Revenue (Annual Fd)</t>
  </si>
  <si>
    <t>Debt Service Fund</t>
  </si>
  <si>
    <t>Trinity School for Children (All)</t>
  </si>
  <si>
    <t>Month/Quarter</t>
  </si>
  <si>
    <t>Year to Date</t>
  </si>
  <si>
    <t>% of YTD</t>
  </si>
  <si>
    <t>Budget</t>
  </si>
  <si>
    <t>Actual to Budget</t>
  </si>
  <si>
    <t xml:space="preserve">  Federal Sources</t>
  </si>
  <si>
    <t xml:space="preserve">    Federal Direct</t>
  </si>
  <si>
    <t xml:space="preserve">    Federal through State and Local</t>
  </si>
  <si>
    <t xml:space="preserve">  State Sources</t>
  </si>
  <si>
    <t xml:space="preserve">    FEFP</t>
  </si>
  <si>
    <t xml:space="preserve">    School Recognition</t>
  </si>
  <si>
    <t xml:space="preserve">      Bonus A Money</t>
  </si>
  <si>
    <t xml:space="preserve">    Total School Recognition</t>
  </si>
  <si>
    <t xml:space="preserve">    State Capital Outlay Funding</t>
  </si>
  <si>
    <t xml:space="preserve">    Other State Revenue</t>
  </si>
  <si>
    <t xml:space="preserve">  Local Sources</t>
  </si>
  <si>
    <t xml:space="preserve">    Childcare Fees</t>
  </si>
  <si>
    <t xml:space="preserve">    Other Local Source Revenue</t>
  </si>
  <si>
    <t xml:space="preserve">  Revenues</t>
  </si>
  <si>
    <t xml:space="preserve">  Instruction - Salaries</t>
  </si>
  <si>
    <t xml:space="preserve">  Instruction - Employee Benefits</t>
  </si>
  <si>
    <t xml:space="preserve">  Instruction - Purchased Services</t>
  </si>
  <si>
    <t xml:space="preserve">  Instruction - Materials &amp; Supplies</t>
  </si>
  <si>
    <t xml:space="preserve">  Instruction - Capital Outlay</t>
  </si>
  <si>
    <t xml:space="preserve">  Instruction - Other Expenditures</t>
  </si>
  <si>
    <t xml:space="preserve">  Instructional Support - Pupil Personnel Services</t>
  </si>
  <si>
    <t xml:space="preserve">  Instructional Support - Instructional Media Servic</t>
  </si>
  <si>
    <t xml:space="preserve">  Instructional Support - Curriculum Development</t>
  </si>
  <si>
    <t xml:space="preserve">  Instructional Support - Instructional Staff Traini</t>
  </si>
  <si>
    <t xml:space="preserve">  Instructional Support - Instructional Related Tech</t>
  </si>
  <si>
    <t xml:space="preserve">  Board</t>
  </si>
  <si>
    <t xml:space="preserve">  General Administration - District Administrative F</t>
  </si>
  <si>
    <t xml:space="preserve">  General Administration - Other</t>
  </si>
  <si>
    <t xml:space="preserve">  School Administration - Management Fees</t>
  </si>
  <si>
    <t xml:space="preserve">  School Administration - Other</t>
  </si>
  <si>
    <t xml:space="preserve">  Facilities Acquisition &amp; Construction - Rent</t>
  </si>
  <si>
    <t xml:space="preserve">  Facilities Acquisition &amp; Construction - Other</t>
  </si>
  <si>
    <t xml:space="preserve">  Fiscal Services</t>
  </si>
  <si>
    <t xml:space="preserve">  Food Services</t>
  </si>
  <si>
    <t xml:space="preserve">  Central services</t>
  </si>
  <si>
    <t xml:space="preserve">  Pupil Transportation Services</t>
  </si>
  <si>
    <t xml:space="preserve">  Operation of Plant</t>
  </si>
  <si>
    <t xml:space="preserve">  Maintenance of Plant</t>
  </si>
  <si>
    <t xml:space="preserve">  Administrative Technology Services</t>
  </si>
  <si>
    <t xml:space="preserve">  Community Services - Childcare Programs</t>
  </si>
  <si>
    <t xml:space="preserve">  FG_Debt Service</t>
  </si>
  <si>
    <t xml:space="preserve">  Expenditures</t>
  </si>
  <si>
    <t>Created on:</t>
  </si>
  <si>
    <t>Total cash flow less reserve and anticipated savings, net</t>
  </si>
  <si>
    <t>Check to SOA</t>
  </si>
  <si>
    <t>Trinity School for Children with MSID Number (6624)</t>
  </si>
  <si>
    <t>Hillsborough County, Florida</t>
  </si>
  <si>
    <t>Balance Sheet (Unaudited)</t>
  </si>
  <si>
    <t>Accounts</t>
  </si>
  <si>
    <t>Other                Designated Fund</t>
  </si>
  <si>
    <t>Total Governmental Funds</t>
  </si>
  <si>
    <t>ASSETS</t>
  </si>
  <si>
    <t>Cash and cash equivalents</t>
  </si>
  <si>
    <t>Accounts Receivable</t>
  </si>
  <si>
    <t>Due from Other Funds</t>
  </si>
  <si>
    <t>12XX</t>
  </si>
  <si>
    <t>LIABILITIES AND FUND BALANCE</t>
  </si>
  <si>
    <t>Accrued Salaries &amp; Benefits</t>
  </si>
  <si>
    <t>Due to Other Funds</t>
  </si>
  <si>
    <t>Payroll Deductions &amp; Withholdings</t>
  </si>
  <si>
    <t>Other Current Liabilities</t>
  </si>
  <si>
    <t>Nonspendable</t>
  </si>
  <si>
    <t>Prepaids from SOFP</t>
  </si>
  <si>
    <t>Restricted</t>
  </si>
  <si>
    <t>Committed</t>
  </si>
  <si>
    <t>Assigned</t>
  </si>
  <si>
    <t>Unassigned</t>
  </si>
  <si>
    <t>Total Fund Balance</t>
  </si>
  <si>
    <t>TOTAL LIABILITIES AND FUND BALANCE</t>
  </si>
  <si>
    <t>Trinity School For Children with MSID Number 6624</t>
  </si>
  <si>
    <t>Channelside Academy of Math &amp; Science with MSID Number-6652</t>
  </si>
  <si>
    <t xml:space="preserve">Statement of Revenue, Expense, and Fund Balance </t>
  </si>
  <si>
    <t>FTE Projected</t>
  </si>
  <si>
    <t xml:space="preserve">  FTE Actual</t>
  </si>
  <si>
    <t>of Projected</t>
  </si>
  <si>
    <t>Special Revenue</t>
  </si>
  <si>
    <t>Other Designated Fund</t>
  </si>
  <si>
    <t>Account Number</t>
  </si>
  <si>
    <t>Month/ Quarter Actual</t>
  </si>
  <si>
    <t>YTD Actual</t>
  </si>
  <si>
    <t>Annual Amended Budget</t>
  </si>
  <si>
    <t>% of YTD
Actual to
Annual Amended Budget</t>
  </si>
  <si>
    <t>% of YTD
Actual to
Annual Budget</t>
  </si>
  <si>
    <t xml:space="preserve">FEDERAL SOURCES </t>
  </si>
  <si>
    <t xml:space="preserve">                   </t>
  </si>
  <si>
    <t xml:space="preserve">STATE SOURCES </t>
  </si>
  <si>
    <t>33XX</t>
  </si>
  <si>
    <t>LOCAL SOURCES</t>
  </si>
  <si>
    <t>34XX</t>
  </si>
  <si>
    <t>rounding</t>
  </si>
  <si>
    <t>Current Expenditures</t>
  </si>
  <si>
    <t>Instruction - Salaries</t>
  </si>
  <si>
    <t>5000 - 100</t>
  </si>
  <si>
    <t>Instruction - Employee Benefits</t>
  </si>
  <si>
    <t>5000 - 200</t>
  </si>
  <si>
    <t>Instruction - Purchased Services</t>
  </si>
  <si>
    <t>5000 - 300</t>
  </si>
  <si>
    <t>Instruction - Materials &amp; Supplies</t>
  </si>
  <si>
    <t>5000 - 500</t>
  </si>
  <si>
    <t>Instruction - Capital Outlay</t>
  </si>
  <si>
    <t>5000 - 600</t>
  </si>
  <si>
    <t>Instruction - Other Expenditures</t>
  </si>
  <si>
    <t>5000 - 700</t>
  </si>
  <si>
    <t>Pupil</t>
  </si>
  <si>
    <t>Instructional Support - Instructional Media Services</t>
  </si>
  <si>
    <t xml:space="preserve">Instructional Support - Curriculum Development </t>
  </si>
  <si>
    <t>Instructional Support - Instructional Staff Training</t>
  </si>
  <si>
    <t>Instructional Support - Instructional Related Technology</t>
  </si>
  <si>
    <t>General Administration - District Administrative Fee</t>
  </si>
  <si>
    <t>7200 - 300</t>
  </si>
  <si>
    <t>General Administration - Other</t>
  </si>
  <si>
    <t>General Administration - Management Fees</t>
  </si>
  <si>
    <t>School Administration - Other</t>
  </si>
  <si>
    <t>Facilities Acquisition &amp; Construction - Facilities Rent</t>
  </si>
  <si>
    <t>7400 - 300</t>
  </si>
  <si>
    <t>Facilities Acquisition &amp; Construction - Other</t>
  </si>
  <si>
    <t>Central services</t>
  </si>
  <si>
    <t>Community Services - Childcare Programs</t>
  </si>
  <si>
    <t>Total Expenditures</t>
  </si>
  <si>
    <t>Excess (Deficiency) of Revenues Over Expenditures</t>
  </si>
  <si>
    <t>Other Financing Sources (Uses)</t>
  </si>
  <si>
    <t>Proceeds from Issuing Long-term Debt</t>
  </si>
  <si>
    <t>Proceeds from Sale of Capital Assets</t>
  </si>
  <si>
    <t>Transfers to Enterprise Fund</t>
  </si>
  <si>
    <t>Transfers from Enterprise Fund</t>
  </si>
  <si>
    <t>Total Other Financing Sources (Uses)</t>
  </si>
  <si>
    <t>Net Change in Fund Balances</t>
  </si>
  <si>
    <t xml:space="preserve">Fund Balances, Beginning </t>
  </si>
  <si>
    <t>Adjustment to fund balance</t>
  </si>
  <si>
    <t>Fund Balances, Beginning as Restated</t>
  </si>
  <si>
    <t>Fund Balances, Ending</t>
  </si>
  <si>
    <t>Total Master Budget Revenues</t>
  </si>
  <si>
    <t>Variance  - loan draw not inlcuded in Joe's budget</t>
  </si>
  <si>
    <t>Total Master Budget Expenses</t>
  </si>
  <si>
    <t>Variance = Reserve plus anticipated savings plus use of loan draw for construtction costs not included in joe's budget</t>
  </si>
  <si>
    <t>adjusted beginning fund balance per above</t>
  </si>
  <si>
    <t xml:space="preserve">      241313 - Deferred Tuition/Deposits 26/27</t>
  </si>
  <si>
    <t>Project:</t>
  </si>
  <si>
    <t>audited FS ending fund balance @6/30/25</t>
  </si>
  <si>
    <t xml:space="preserve">      212109 - Retainage Payable</t>
  </si>
  <si>
    <t xml:space="preserve">      217006 - Enhancement</t>
  </si>
  <si>
    <t xml:space="preserve">      222100 - Other Current Liabilities</t>
  </si>
  <si>
    <t xml:space="preserve">      349510 - Media Income</t>
  </si>
  <si>
    <t xml:space="preserve">      524000 - Employee Benefits - Workers Compensation</t>
  </si>
  <si>
    <t xml:space="preserve">      572000 - Interest Expense</t>
  </si>
  <si>
    <t>Inception to Date - SOA-Restricted Balances</t>
  </si>
  <si>
    <t>Variance is PPA transfer audit entry that is not recorded on internal books</t>
  </si>
  <si>
    <t xml:space="preserve">      241300 - Deferred Tuition / Deposits 18/19</t>
  </si>
  <si>
    <t xml:space="preserve">      339700 - State Capital Outlay Funding</t>
  </si>
  <si>
    <t xml:space="preserve">      District LCIR</t>
  </si>
  <si>
    <t xml:space="preserve">        341800 - District Local County Sales Tax</t>
  </si>
  <si>
    <t xml:space="preserve">      Total District LCIR</t>
  </si>
  <si>
    <t xml:space="preserve">        347103 - Write off Uncollectible Account</t>
  </si>
  <si>
    <t xml:space="preserve">        564300 - Capitalized Computer Hardware</t>
  </si>
  <si>
    <t xml:space="preserve">    Federal Revenue</t>
  </si>
  <si>
    <t xml:space="preserve">      320000 - Federal Through State and Local</t>
  </si>
  <si>
    <t xml:space="preserve">    Total Federal Revenue</t>
  </si>
  <si>
    <t xml:space="preserve">        539102 - FACTS Hosting fee - Advanced accounting</t>
  </si>
  <si>
    <t xml:space="preserve">      220010 - FACTS Refunds payable</t>
  </si>
  <si>
    <t xml:space="preserve">      336101 - Florida School Recognition Funds</t>
  </si>
  <si>
    <t xml:space="preserve">      349700 - Refunds of Prior Year's Expenditures</t>
  </si>
  <si>
    <t xml:space="preserve">      529000 - Employee Benefits (Match)</t>
  </si>
  <si>
    <t xml:space="preserve">      111201 - Petty Cash - Concession Stand A&amp;A</t>
  </si>
  <si>
    <t xml:space="preserve">      217005 - EC Tution Payments</t>
  </si>
  <si>
    <t xml:space="preserve">      324200 - Title IV</t>
  </si>
  <si>
    <t>Upper Deck</t>
  </si>
  <si>
    <t>Pantry</t>
  </si>
  <si>
    <t xml:space="preserve">      217019 - Summer Camp</t>
  </si>
  <si>
    <t xml:space="preserve">      241304 - Deferred Summer Camp Revenue</t>
  </si>
  <si>
    <t xml:space="preserve">      241314 - Deferred Tuition/Deposits 27/28</t>
  </si>
  <si>
    <t xml:space="preserve">      349506 - Summer Camp Revenue</t>
  </si>
  <si>
    <t xml:space="preserve">      111016 - Athletic &amp; Arts Center Account</t>
  </si>
  <si>
    <t xml:space="preserve">      349514 - Insurance Refund/Rebate</t>
  </si>
  <si>
    <t xml:space="preserve">      111202 - Petty Cash - Summer League</t>
  </si>
  <si>
    <t>Fiscal YTD July 1, 2025 - June 30, 2026</t>
  </si>
  <si>
    <t>06/30/2026</t>
  </si>
  <si>
    <t>06/30/2025</t>
  </si>
  <si>
    <t xml:space="preserve">      111007 - USAB Operating Account</t>
  </si>
  <si>
    <t xml:space="preserve">      123100 - Prepaid Expenses</t>
  </si>
  <si>
    <t>As of June 30, 2026</t>
  </si>
  <si>
    <t xml:space="preserve">        341300 - District LCIR</t>
  </si>
  <si>
    <t xml:space="preserve">      349507 - Uniform Commission</t>
  </si>
  <si>
    <t xml:space="preserve">        539001 - District Administrative Fee</t>
  </si>
  <si>
    <t xml:space="preserve">      578000 - Depreciation Expense</t>
  </si>
  <si>
    <t>For the Period Ended June 30, 2026</t>
  </si>
  <si>
    <t>For the Month or Quarter Ended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</si>
</sst>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#,##0;\(#,##0\)"/>
    <numFmt numFmtId="166" formatCode="_(* #,##0_);_(* \(#,##0\);_(* &quot;-&quot;??_);_(@_)"/>
    <numFmt numFmtId="167" formatCode="#,##0\ %;\(#,##0\)\ %"/>
    <numFmt numFmtId="168" formatCode="#,##0.00;\(#,##0.00\)"/>
    <numFmt numFmtId="169" formatCode="&quot;$&quot;\ #,##0.00;&quot;$&quot;\ \(#,##0.00\)"/>
    <numFmt numFmtId="170" formatCode="&quot;$&quot;\ #,##0;&quot;$&quot;\ \(#,##0\)"/>
  </numFmts>
  <fonts count="5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Helvetica"/>
      <family val="2"/>
    </font>
    <font>
      <b/>
      <sz val="10"/>
      <name val="Helvetica"/>
      <family val="2"/>
    </font>
    <font>
      <sz val="8"/>
      <name val="Helvetica"/>
      <family val="2"/>
    </font>
    <font>
      <sz val="14"/>
      <name val="Helvetica"/>
      <family val="2"/>
    </font>
    <font>
      <b/>
      <sz val="14"/>
      <name val="Helvetica"/>
      <family val="2"/>
    </font>
    <font>
      <b/>
      <sz val="8"/>
      <name val="Helvetica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Helvetica"/>
    </font>
    <font>
      <sz val="10"/>
      <color rgb="FF0000FF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4" tint="-0.24997711111789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b/>
      <u/>
      <sz val="10"/>
      <color theme="3" tint="0.39997558519241921"/>
      <name val="Arial"/>
      <family val="2"/>
    </font>
    <font>
      <b/>
      <u/>
      <sz val="10"/>
      <color indexed="8"/>
      <name val="Arial"/>
      <family val="2"/>
    </font>
    <font>
      <b/>
      <u/>
      <sz val="10"/>
      <name val="Arial"/>
      <family val="2"/>
    </font>
    <font>
      <sz val="11"/>
      <color rgb="FF00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</borders>
  <cellStyleXfs count="7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8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0" xfId="39"/>
    <xf numFmtId="0" fontId="3" fillId="5" borderId="0" xfId="27" applyFill="1"/>
    <xf numFmtId="0" fontId="3" fillId="5" borderId="0" xfId="27" applyFill="1" applyAlignment="1">
      <alignment horizontal="left"/>
    </xf>
    <xf numFmtId="0" fontId="38" fillId="5" borderId="0" xfId="27" applyFont="1" applyFill="1" applyAlignment="1">
      <alignment horizontal="left"/>
    </xf>
    <xf numFmtId="0" fontId="39" fillId="5" borderId="4" xfId="27" applyFont="1" applyFill="1" applyBorder="1" applyAlignment="1">
      <alignment horizontal="right"/>
    </xf>
    <xf numFmtId="0" fontId="39" fillId="5" borderId="0" xfId="27" applyFont="1" applyFill="1" applyAlignment="1">
      <alignment horizontal="left"/>
    </xf>
    <xf numFmtId="0" fontId="37" fillId="5" borderId="0" xfId="27" applyFont="1" applyFill="1" applyAlignment="1">
      <alignment horizontal="left"/>
    </xf>
    <xf numFmtId="0" fontId="3" fillId="5" borderId="8" xfId="27" applyFill="1" applyBorder="1"/>
    <xf numFmtId="0" fontId="37" fillId="5" borderId="8" xfId="27" applyFont="1" applyFill="1" applyBorder="1" applyAlignment="1">
      <alignment horizontal="left"/>
    </xf>
    <xf numFmtId="0" fontId="4" fillId="5" borderId="0" xfId="27" applyFont="1" applyFill="1" applyAlignment="1">
      <alignment horizontal="center"/>
    </xf>
    <xf numFmtId="0" fontId="4" fillId="5" borderId="8" xfId="27" applyFont="1" applyFill="1" applyBorder="1" applyAlignment="1">
      <alignment horizontal="center"/>
    </xf>
    <xf numFmtId="0" fontId="38" fillId="5" borderId="0" xfId="27" applyFont="1" applyFill="1" applyAlignment="1">
      <alignment horizontal="center"/>
    </xf>
    <xf numFmtId="0" fontId="38" fillId="5" borderId="8" xfId="27" applyFont="1" applyFill="1" applyBorder="1" applyAlignment="1">
      <alignment horizontal="center"/>
    </xf>
    <xf numFmtId="0" fontId="38" fillId="5" borderId="1" xfId="27" applyFont="1" applyFill="1" applyBorder="1" applyAlignment="1">
      <alignment horizontal="center"/>
    </xf>
    <xf numFmtId="0" fontId="38" fillId="5" borderId="9" xfId="27" applyFont="1" applyFill="1" applyBorder="1" applyAlignment="1">
      <alignment horizontal="center"/>
    </xf>
    <xf numFmtId="0" fontId="39" fillId="5" borderId="10" xfId="27" applyFont="1" applyFill="1" applyBorder="1" applyAlignment="1">
      <alignment horizontal="right"/>
    </xf>
    <xf numFmtId="165" fontId="3" fillId="5" borderId="0" xfId="27" applyNumberFormat="1" applyFill="1"/>
    <xf numFmtId="0" fontId="3" fillId="6" borderId="0" xfId="27" applyFill="1"/>
    <xf numFmtId="0" fontId="4" fillId="6" borderId="0" xfId="27" applyFont="1" applyFill="1" applyAlignment="1">
      <alignment horizontal="center"/>
    </xf>
    <xf numFmtId="0" fontId="38" fillId="6" borderId="0" xfId="27" applyFont="1" applyFill="1" applyAlignment="1">
      <alignment horizontal="center"/>
    </xf>
    <xf numFmtId="0" fontId="38" fillId="6" borderId="1" xfId="27" applyFont="1" applyFill="1" applyBorder="1" applyAlignment="1">
      <alignment horizontal="center"/>
    </xf>
    <xf numFmtId="0" fontId="39" fillId="6" borderId="4" xfId="27" applyFont="1" applyFill="1" applyBorder="1" applyAlignment="1">
      <alignment horizontal="right"/>
    </xf>
    <xf numFmtId="0" fontId="9" fillId="5" borderId="0" xfId="27" applyFont="1" applyFill="1" applyAlignment="1">
      <alignment horizontal="right"/>
    </xf>
    <xf numFmtId="0" fontId="38" fillId="5" borderId="0" xfId="0" applyFont="1" applyFill="1" applyAlignment="1">
      <alignment horizontal="left"/>
    </xf>
    <xf numFmtId="0" fontId="0" fillId="5" borderId="0" xfId="0" applyFill="1"/>
    <xf numFmtId="0" fontId="41" fillId="5" borderId="0" xfId="0" applyFont="1" applyFill="1" applyAlignment="1">
      <alignment horizontal="left"/>
    </xf>
    <xf numFmtId="0" fontId="40" fillId="5" borderId="0" xfId="0" applyFont="1" applyFill="1" applyAlignment="1">
      <alignment horizontal="left"/>
    </xf>
    <xf numFmtId="0" fontId="37" fillId="7" borderId="0" xfId="27" applyFont="1" applyFill="1" applyAlignment="1">
      <alignment horizontal="left"/>
    </xf>
    <xf numFmtId="0" fontId="43" fillId="0" borderId="0" xfId="0" applyFont="1"/>
    <xf numFmtId="0" fontId="46" fillId="5" borderId="0" xfId="0" applyFont="1" applyFill="1" applyAlignment="1">
      <alignment horizontal="left"/>
    </xf>
    <xf numFmtId="0" fontId="48" fillId="0" borderId="0" xfId="0" applyFont="1"/>
    <xf numFmtId="43" fontId="48" fillId="0" borderId="0" xfId="0" applyNumberFormat="1" applyFont="1"/>
    <xf numFmtId="44" fontId="48" fillId="0" borderId="0" xfId="0" applyNumberFormat="1" applyFont="1"/>
    <xf numFmtId="44" fontId="48" fillId="0" borderId="0" xfId="2" applyFont="1" applyBorder="1" applyAlignment="1">
      <alignment horizontal="right"/>
    </xf>
    <xf numFmtId="9" fontId="48" fillId="0" borderId="3" xfId="53" applyFont="1" applyBorder="1" applyAlignment="1">
      <alignment horizontal="right"/>
    </xf>
    <xf numFmtId="43" fontId="48" fillId="0" borderId="0" xfId="1" applyFont="1" applyAlignment="1">
      <alignment horizontal="right"/>
    </xf>
    <xf numFmtId="44" fontId="48" fillId="0" borderId="3" xfId="2" applyFont="1" applyBorder="1" applyAlignment="1">
      <alignment horizontal="right"/>
    </xf>
    <xf numFmtId="0" fontId="49" fillId="0" borderId="0" xfId="0" applyFont="1"/>
    <xf numFmtId="9" fontId="48" fillId="0" borderId="0" xfId="53" applyFont="1" applyAlignment="1">
      <alignment horizontal="right"/>
    </xf>
    <xf numFmtId="43" fontId="48" fillId="0" borderId="0" xfId="1" applyFont="1" applyBorder="1" applyAlignment="1">
      <alignment horizontal="right"/>
    </xf>
    <xf numFmtId="9" fontId="48" fillId="0" borderId="2" xfId="53" applyFont="1" applyBorder="1" applyAlignment="1">
      <alignment horizontal="right"/>
    </xf>
    <xf numFmtId="43" fontId="48" fillId="0" borderId="2" xfId="1" applyFont="1" applyBorder="1" applyAlignment="1">
      <alignment horizontal="right"/>
    </xf>
    <xf numFmtId="9" fontId="48" fillId="0" borderId="1" xfId="53" applyFont="1" applyBorder="1" applyAlignment="1">
      <alignment horizontal="right"/>
    </xf>
    <xf numFmtId="43" fontId="50" fillId="0" borderId="0" xfId="1" applyFont="1" applyAlignment="1">
      <alignment horizontal="right"/>
    </xf>
    <xf numFmtId="43" fontId="48" fillId="0" borderId="0" xfId="1" applyFont="1" applyFill="1" applyAlignment="1">
      <alignment horizontal="right"/>
    </xf>
    <xf numFmtId="43" fontId="48" fillId="0" borderId="0" xfId="1" applyFont="1" applyFill="1" applyBorder="1" applyAlignment="1">
      <alignment horizontal="right"/>
    </xf>
    <xf numFmtId="0" fontId="4" fillId="0" borderId="0" xfId="3" applyFont="1" applyAlignment="1" applyProtection="1">
      <alignment horizontal="center" wrapText="1"/>
      <protection locked="0"/>
    </xf>
    <xf numFmtId="9" fontId="48" fillId="0" borderId="0" xfId="53" applyFont="1" applyFill="1" applyAlignment="1">
      <alignment horizontal="right"/>
    </xf>
    <xf numFmtId="43" fontId="48" fillId="0" borderId="0" xfId="2" applyNumberFormat="1" applyFont="1" applyAlignment="1">
      <alignment horizontal="right"/>
    </xf>
    <xf numFmtId="0" fontId="48" fillId="0" borderId="0" xfId="0" applyFont="1" applyAlignment="1">
      <alignment horizontal="center"/>
    </xf>
    <xf numFmtId="43" fontId="48" fillId="0" borderId="0" xfId="53" applyNumberFormat="1" applyFont="1" applyAlignment="1">
      <alignment horizontal="right"/>
    </xf>
    <xf numFmtId="43" fontId="48" fillId="0" borderId="1" xfId="1" applyFont="1" applyBorder="1" applyAlignment="1">
      <alignment horizontal="right"/>
    </xf>
    <xf numFmtId="0" fontId="3" fillId="0" borderId="0" xfId="3" applyAlignment="1" applyProtection="1">
      <alignment horizontal="left"/>
      <protection locked="0"/>
    </xf>
    <xf numFmtId="0" fontId="3" fillId="0" borderId="0" xfId="3" applyAlignment="1" applyProtection="1">
      <alignment horizontal="center"/>
      <protection locked="0"/>
    </xf>
    <xf numFmtId="43" fontId="3" fillId="0" borderId="0" xfId="1" applyFont="1" applyAlignment="1">
      <alignment horizontal="right"/>
    </xf>
    <xf numFmtId="43" fontId="51" fillId="0" borderId="0" xfId="1" applyFont="1" applyBorder="1" applyAlignment="1">
      <alignment horizontal="left"/>
    </xf>
    <xf numFmtId="43" fontId="3" fillId="0" borderId="0" xfId="1" applyFont="1" applyAlignment="1">
      <alignment horizontal="left"/>
    </xf>
    <xf numFmtId="43" fontId="3" fillId="0" borderId="0" xfId="1" applyFont="1" applyFill="1" applyAlignment="1">
      <alignment horizontal="left"/>
    </xf>
    <xf numFmtId="43" fontId="51" fillId="0" borderId="0" xfId="1" applyFont="1" applyFill="1" applyBorder="1" applyAlignment="1">
      <alignment horizontal="left"/>
    </xf>
    <xf numFmtId="43" fontId="3" fillId="0" borderId="0" xfId="1" applyFont="1" applyBorder="1" applyAlignment="1">
      <alignment horizontal="left"/>
    </xf>
    <xf numFmtId="43" fontId="3" fillId="0" borderId="0" xfId="1" applyFont="1" applyFill="1" applyBorder="1" applyAlignment="1">
      <alignment horizontal="left"/>
    </xf>
    <xf numFmtId="0" fontId="3" fillId="0" borderId="0" xfId="3" applyProtection="1">
      <protection locked="0"/>
    </xf>
    <xf numFmtId="0" fontId="48" fillId="0" borderId="0" xfId="0" applyFont="1" applyAlignment="1">
      <alignment horizontal="right"/>
    </xf>
    <xf numFmtId="0" fontId="3" fillId="0" borderId="0" xfId="3" applyAlignment="1" applyProtection="1">
      <alignment horizontal="center" wrapText="1"/>
      <protection locked="0"/>
    </xf>
    <xf numFmtId="44" fontId="48" fillId="0" borderId="0" xfId="2" applyFont="1" applyAlignment="1">
      <alignment horizontal="right"/>
    </xf>
    <xf numFmtId="0" fontId="4" fillId="0" borderId="0" xfId="3" applyFont="1" applyAlignment="1" applyProtection="1">
      <alignment horizontal="center"/>
      <protection locked="0"/>
    </xf>
    <xf numFmtId="0" fontId="48" fillId="0" borderId="0" xfId="0" applyFont="1" applyAlignment="1">
      <alignment wrapText="1"/>
    </xf>
    <xf numFmtId="0" fontId="48" fillId="8" borderId="0" xfId="0" applyFont="1" applyFill="1" applyAlignment="1">
      <alignment wrapText="1"/>
    </xf>
    <xf numFmtId="0" fontId="4" fillId="8" borderId="2" xfId="3" applyFont="1" applyFill="1" applyBorder="1" applyAlignment="1" applyProtection="1">
      <alignment horizontal="center" wrapText="1"/>
      <protection locked="0"/>
    </xf>
    <xf numFmtId="0" fontId="4" fillId="8" borderId="4" xfId="3" applyFont="1" applyFill="1" applyBorder="1" applyAlignment="1" applyProtection="1">
      <alignment horizontal="center" wrapText="1"/>
      <protection locked="0"/>
    </xf>
    <xf numFmtId="0" fontId="49" fillId="8" borderId="0" xfId="0" applyFont="1" applyFill="1" applyAlignment="1">
      <alignment wrapText="1"/>
    </xf>
    <xf numFmtId="0" fontId="4" fillId="0" borderId="4" xfId="3" applyFont="1" applyBorder="1" applyAlignment="1" applyProtection="1">
      <alignment horizontal="center" wrapText="1"/>
      <protection locked="0"/>
    </xf>
    <xf numFmtId="0" fontId="4" fillId="0" borderId="2" xfId="3" applyFont="1" applyBorder="1" applyAlignment="1" applyProtection="1">
      <alignment horizontal="center" wrapText="1"/>
      <protection locked="0"/>
    </xf>
    <xf numFmtId="0" fontId="4" fillId="0" borderId="1" xfId="3" applyFont="1" applyBorder="1" applyAlignment="1" applyProtection="1">
      <alignment horizontal="center" wrapText="1"/>
      <protection locked="0"/>
    </xf>
    <xf numFmtId="0" fontId="4" fillId="0" borderId="0" xfId="3" applyFont="1" applyAlignment="1" applyProtection="1">
      <alignment horizontal="left"/>
      <protection locked="0"/>
    </xf>
    <xf numFmtId="0" fontId="48" fillId="8" borderId="0" xfId="0" applyFont="1" applyFill="1"/>
    <xf numFmtId="0" fontId="49" fillId="8" borderId="0" xfId="0" applyFont="1" applyFill="1"/>
    <xf numFmtId="0" fontId="49" fillId="0" borderId="0" xfId="0" applyFont="1" applyAlignment="1">
      <alignment horizontal="center"/>
    </xf>
    <xf numFmtId="9" fontId="49" fillId="0" borderId="0" xfId="53" applyFont="1" applyAlignment="1">
      <alignment horizontal="right"/>
    </xf>
    <xf numFmtId="0" fontId="52" fillId="8" borderId="2" xfId="0" applyFont="1" applyFill="1" applyBorder="1" applyAlignment="1">
      <alignment horizontal="center"/>
    </xf>
    <xf numFmtId="0" fontId="4" fillId="0" borderId="0" xfId="3" applyFont="1" applyAlignment="1" applyProtection="1">
      <alignment horizontal="left" indent="4"/>
      <protection locked="0"/>
    </xf>
    <xf numFmtId="0" fontId="52" fillId="8" borderId="0" xfId="3" applyFont="1" applyFill="1" applyAlignment="1" applyProtection="1">
      <alignment horizontal="center"/>
      <protection locked="0"/>
    </xf>
    <xf numFmtId="0" fontId="4" fillId="0" borderId="0" xfId="3" applyFont="1" applyProtection="1">
      <protection locked="0"/>
    </xf>
    <xf numFmtId="44" fontId="48" fillId="0" borderId="5" xfId="2" applyFont="1" applyBorder="1" applyAlignment="1">
      <alignment horizontal="right"/>
    </xf>
    <xf numFmtId="44" fontId="48" fillId="0" borderId="0" xfId="0" applyNumberFormat="1" applyFont="1" applyAlignment="1">
      <alignment horizontal="right"/>
    </xf>
    <xf numFmtId="0" fontId="54" fillId="0" borderId="0" xfId="0" applyFont="1"/>
    <xf numFmtId="44" fontId="48" fillId="0" borderId="5" xfId="0" applyNumberFormat="1" applyFont="1" applyBorder="1" applyAlignment="1">
      <alignment horizontal="right"/>
    </xf>
    <xf numFmtId="43" fontId="51" fillId="0" borderId="0" xfId="1" applyFont="1" applyAlignment="1">
      <alignment horizontal="right"/>
    </xf>
    <xf numFmtId="0" fontId="49" fillId="0" borderId="1" xfId="0" applyFont="1" applyBorder="1" applyAlignment="1">
      <alignment horizontal="center" wrapText="1"/>
    </xf>
    <xf numFmtId="0" fontId="49" fillId="0" borderId="0" xfId="0" applyFont="1" applyAlignment="1">
      <alignment horizontal="center" wrapText="1"/>
    </xf>
    <xf numFmtId="0" fontId="49" fillId="0" borderId="1" xfId="0" applyFont="1" applyBorder="1" applyAlignment="1">
      <alignment horizontal="center"/>
    </xf>
    <xf numFmtId="0" fontId="55" fillId="0" borderId="0" xfId="3" applyFont="1" applyAlignment="1" applyProtection="1">
      <alignment horizontal="center"/>
      <protection locked="0"/>
    </xf>
    <xf numFmtId="9" fontId="48" fillId="0" borderId="2" xfId="54" applyFont="1" applyBorder="1" applyAlignment="1">
      <alignment horizontal="right"/>
    </xf>
    <xf numFmtId="0" fontId="9" fillId="0" borderId="0" xfId="0" applyFont="1"/>
    <xf numFmtId="43" fontId="3" fillId="0" borderId="0" xfId="1" applyFont="1" applyFill="1" applyAlignment="1">
      <alignment horizontal="right"/>
    </xf>
    <xf numFmtId="43" fontId="48" fillId="0" borderId="0" xfId="1" applyFont="1"/>
    <xf numFmtId="0" fontId="56" fillId="0" borderId="0" xfId="0" applyFont="1" applyAlignment="1">
      <alignment horizontal="right"/>
    </xf>
    <xf numFmtId="0" fontId="56" fillId="0" borderId="0" xfId="0" applyFont="1"/>
    <xf numFmtId="43" fontId="56" fillId="0" borderId="0" xfId="0" applyNumberFormat="1" applyFont="1"/>
    <xf numFmtId="166" fontId="56" fillId="0" borderId="0" xfId="0" applyNumberFormat="1" applyFont="1"/>
    <xf numFmtId="43" fontId="56" fillId="0" borderId="0" xfId="1" applyFont="1" applyFill="1"/>
    <xf numFmtId="0" fontId="9" fillId="8" borderId="0" xfId="0" applyFont="1" applyFill="1" applyAlignment="1">
      <alignment wrapText="1"/>
    </xf>
    <xf numFmtId="0" fontId="9" fillId="0" borderId="0" xfId="0" applyFont="1" applyAlignment="1">
      <alignment wrapText="1"/>
    </xf>
    <xf numFmtId="43" fontId="9" fillId="0" borderId="0" xfId="0" applyNumberFormat="1" applyFont="1"/>
    <xf numFmtId="43" fontId="56" fillId="0" borderId="11" xfId="0" applyNumberFormat="1" applyFont="1" applyBorder="1"/>
    <xf numFmtId="166" fontId="56" fillId="0" borderId="11" xfId="1" applyNumberFormat="1" applyFont="1" applyBorder="1"/>
    <xf numFmtId="165" fontId="38" fillId="5" borderId="5" xfId="0" applyNumberFormat="1" applyFont="1" applyFill="1" applyBorder="1" applyAlignment="1">
      <alignment horizontal="right"/>
    </xf>
    <xf numFmtId="167" fontId="38" fillId="5" borderId="5" xfId="0" applyNumberFormat="1" applyFont="1" applyFill="1" applyBorder="1" applyAlignment="1">
      <alignment horizontal="right"/>
    </xf>
    <xf numFmtId="43" fontId="3" fillId="0" borderId="0" xfId="1" applyFont="1" applyFill="1"/>
    <xf numFmtId="0" fontId="0" fillId="5" borderId="0" xfId="0" applyFill="1" applyAlignment="1">
      <alignment horizontal="left"/>
    </xf>
    <xf numFmtId="0" fontId="3" fillId="0" borderId="0" xfId="27"/>
    <xf numFmtId="165" fontId="38" fillId="5" borderId="2" xfId="0" applyNumberFormat="1" applyFont="1" applyFill="1" applyBorder="1" applyAlignment="1">
      <alignment horizontal="right"/>
    </xf>
    <xf numFmtId="165" fontId="38" fillId="5" borderId="1" xfId="0" applyNumberFormat="1" applyFont="1" applyFill="1" applyBorder="1" applyAlignment="1">
      <alignment horizontal="right"/>
    </xf>
    <xf numFmtId="165" fontId="38" fillId="5" borderId="0" xfId="0" applyNumberFormat="1" applyFont="1" applyFill="1" applyAlignment="1">
      <alignment horizontal="right"/>
    </xf>
    <xf numFmtId="167" fontId="38" fillId="5" borderId="0" xfId="0" applyNumberFormat="1" applyFont="1" applyFill="1" applyAlignment="1">
      <alignment horizontal="right"/>
    </xf>
    <xf numFmtId="167" fontId="38" fillId="5" borderId="2" xfId="0" applyNumberFormat="1" applyFont="1" applyFill="1" applyBorder="1" applyAlignment="1">
      <alignment horizontal="right"/>
    </xf>
    <xf numFmtId="0" fontId="38" fillId="5" borderId="4" xfId="0" applyFont="1" applyFill="1" applyBorder="1" applyAlignment="1">
      <alignment horizontal="left"/>
    </xf>
    <xf numFmtId="167" fontId="38" fillId="5" borderId="1" xfId="0" applyNumberFormat="1" applyFont="1" applyFill="1" applyBorder="1" applyAlignment="1">
      <alignment horizontal="right"/>
    </xf>
    <xf numFmtId="43" fontId="48" fillId="0" borderId="0" xfId="1" applyFont="1" applyBorder="1"/>
    <xf numFmtId="0" fontId="37" fillId="5" borderId="0" xfId="0" applyFont="1" applyFill="1" applyAlignment="1">
      <alignment horizontal="left"/>
    </xf>
    <xf numFmtId="0" fontId="9" fillId="5" borderId="0" xfId="27" applyFont="1" applyFill="1" applyAlignment="1">
      <alignment horizontal="center" wrapText="1"/>
    </xf>
    <xf numFmtId="43" fontId="48" fillId="4" borderId="0" xfId="1" applyFont="1" applyFill="1"/>
    <xf numFmtId="165" fontId="9" fillId="10" borderId="0" xfId="27" applyNumberFormat="1" applyFont="1" applyFill="1"/>
    <xf numFmtId="44" fontId="48" fillId="0" borderId="0" xfId="2" applyFont="1" applyFill="1" applyAlignment="1">
      <alignment horizontal="right"/>
    </xf>
    <xf numFmtId="0" fontId="9" fillId="0" borderId="0" xfId="27" applyFont="1"/>
    <xf numFmtId="0" fontId="47" fillId="0" borderId="0" xfId="27" applyFont="1"/>
    <xf numFmtId="165" fontId="37" fillId="5" borderId="0" xfId="0" applyNumberFormat="1" applyFont="1" applyFill="1" applyAlignment="1">
      <alignment horizontal="right"/>
    </xf>
    <xf numFmtId="167" fontId="37" fillId="5" borderId="0" xfId="0" applyNumberFormat="1" applyFont="1" applyFill="1" applyAlignment="1">
      <alignment horizontal="right"/>
    </xf>
    <xf numFmtId="165" fontId="38" fillId="5" borderId="4" xfId="0" applyNumberFormat="1" applyFont="1" applyFill="1" applyBorder="1" applyAlignment="1">
      <alignment horizontal="right"/>
    </xf>
    <xf numFmtId="167" fontId="38" fillId="5" borderId="4" xfId="0" applyNumberFormat="1" applyFont="1" applyFill="1" applyBorder="1" applyAlignment="1">
      <alignment horizontal="right"/>
    </xf>
    <xf numFmtId="0" fontId="4" fillId="0" borderId="0" xfId="27" applyFont="1" applyAlignment="1">
      <alignment horizontal="center"/>
    </xf>
    <xf numFmtId="0" fontId="48" fillId="4" borderId="0" xfId="0" applyFont="1" applyFill="1"/>
    <xf numFmtId="43" fontId="48" fillId="4" borderId="5" xfId="1" applyFont="1" applyFill="1" applyBorder="1"/>
    <xf numFmtId="165" fontId="38" fillId="9" borderId="5" xfId="0" applyNumberFormat="1" applyFont="1" applyFill="1" applyBorder="1" applyAlignment="1">
      <alignment horizontal="right"/>
    </xf>
    <xf numFmtId="0" fontId="38" fillId="5" borderId="0" xfId="0" applyFont="1" applyFill="1" applyAlignment="1">
      <alignment horizontal="right"/>
    </xf>
    <xf numFmtId="0" fontId="38" fillId="5" borderId="1" xfId="0" applyFont="1" applyFill="1" applyBorder="1" applyAlignment="1">
      <alignment horizontal="right"/>
    </xf>
    <xf numFmtId="0" fontId="42" fillId="5" borderId="0" xfId="0" applyFont="1" applyFill="1" applyAlignment="1">
      <alignment horizontal="left"/>
    </xf>
    <xf numFmtId="0" fontId="42" fillId="5" borderId="4" xfId="0" applyFont="1" applyFill="1" applyBorder="1" applyAlignment="1">
      <alignment horizontal="right"/>
    </xf>
    <xf numFmtId="0" fontId="41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0" fillId="0" borderId="0" xfId="0" applyAlignment="1">
      <alignment horizontal="left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right"/>
    </xf>
    <xf numFmtId="0" fontId="38" fillId="0" borderId="1" xfId="0" applyFont="1" applyBorder="1" applyAlignment="1">
      <alignment horizontal="right"/>
    </xf>
    <xf numFmtId="0" fontId="42" fillId="0" borderId="0" xfId="0" applyFont="1" applyAlignment="1">
      <alignment horizontal="left"/>
    </xf>
    <xf numFmtId="0" fontId="42" fillId="0" borderId="4" xfId="0" applyFont="1" applyBorder="1" applyAlignment="1">
      <alignment horizontal="right"/>
    </xf>
    <xf numFmtId="168" fontId="37" fillId="0" borderId="0" xfId="0" applyNumberFormat="1" applyFont="1" applyAlignment="1">
      <alignment horizontal="right"/>
    </xf>
    <xf numFmtId="168" fontId="38" fillId="0" borderId="4" xfId="0" applyNumberFormat="1" applyFont="1" applyBorder="1" applyAlignment="1">
      <alignment horizontal="right"/>
    </xf>
    <xf numFmtId="169" fontId="38" fillId="0" borderId="5" xfId="0" applyNumberFormat="1" applyFont="1" applyBorder="1" applyAlignment="1">
      <alignment horizontal="right"/>
    </xf>
    <xf numFmtId="169" fontId="38" fillId="0" borderId="2" xfId="0" applyNumberFormat="1" applyFont="1" applyBorder="1" applyAlignment="1">
      <alignment horizontal="right"/>
    </xf>
    <xf numFmtId="169" fontId="38" fillId="0" borderId="1" xfId="0" applyNumberFormat="1" applyFont="1" applyBorder="1" applyAlignment="1">
      <alignment horizontal="right"/>
    </xf>
    <xf numFmtId="169" fontId="38" fillId="0" borderId="3" xfId="0" applyNumberFormat="1" applyFont="1" applyBorder="1" applyAlignment="1">
      <alignment horizontal="right"/>
    </xf>
    <xf numFmtId="0" fontId="37" fillId="0" borderId="0" xfId="0" applyFont="1" applyAlignment="1">
      <alignment horizontal="right"/>
    </xf>
    <xf numFmtId="0" fontId="37" fillId="0" borderId="1" xfId="0" applyFont="1" applyBorder="1" applyAlignment="1">
      <alignment horizontal="right"/>
    </xf>
    <xf numFmtId="0" fontId="39" fillId="0" borderId="0" xfId="0" applyFont="1" applyAlignment="1">
      <alignment horizontal="left"/>
    </xf>
    <xf numFmtId="0" fontId="39" fillId="0" borderId="4" xfId="0" applyFont="1" applyBorder="1" applyAlignment="1">
      <alignment horizontal="right"/>
    </xf>
    <xf numFmtId="165" fontId="37" fillId="0" borderId="0" xfId="0" applyNumberFormat="1" applyFont="1" applyAlignment="1">
      <alignment horizontal="right"/>
    </xf>
    <xf numFmtId="170" fontId="38" fillId="0" borderId="5" xfId="0" applyNumberFormat="1" applyFont="1" applyBorder="1" applyAlignment="1">
      <alignment horizontal="right"/>
    </xf>
    <xf numFmtId="170" fontId="38" fillId="0" borderId="2" xfId="0" applyNumberFormat="1" applyFont="1" applyBorder="1" applyAlignment="1">
      <alignment horizontal="right"/>
    </xf>
    <xf numFmtId="170" fontId="38" fillId="0" borderId="1" xfId="0" applyNumberFormat="1" applyFont="1" applyBorder="1" applyAlignment="1">
      <alignment horizontal="right"/>
    </xf>
    <xf numFmtId="170" fontId="38" fillId="0" borderId="3" xfId="0" applyNumberFormat="1" applyFont="1" applyBorder="1" applyAlignment="1">
      <alignment horizontal="right"/>
    </xf>
    <xf numFmtId="165" fontId="38" fillId="5" borderId="3" xfId="0" applyNumberFormat="1" applyFont="1" applyFill="1" applyBorder="1" applyAlignment="1">
      <alignment horizontal="right"/>
    </xf>
    <xf numFmtId="165" fontId="37" fillId="0" borderId="4" xfId="0" applyNumberFormat="1" applyFont="1" applyBorder="1" applyAlignment="1">
      <alignment horizontal="right"/>
    </xf>
    <xf numFmtId="165" fontId="37" fillId="0" borderId="2" xfId="0" applyNumberFormat="1" applyFont="1" applyBorder="1" applyAlignment="1">
      <alignment horizontal="right"/>
    </xf>
    <xf numFmtId="0" fontId="4" fillId="0" borderId="0" xfId="3" applyFont="1" applyAlignment="1" applyProtection="1">
      <alignment horizontal="center"/>
      <protection locked="0"/>
    </xf>
    <xf numFmtId="164" fontId="53" fillId="0" borderId="0" xfId="3" applyNumberFormat="1" applyFont="1" applyAlignment="1" applyProtection="1">
      <alignment horizontal="center"/>
      <protection locked="0"/>
    </xf>
    <xf numFmtId="0" fontId="4" fillId="8" borderId="6" xfId="3" applyFont="1" applyFill="1" applyBorder="1" applyAlignment="1" applyProtection="1">
      <alignment horizontal="center"/>
      <protection locked="0"/>
    </xf>
    <xf numFmtId="0" fontId="4" fillId="8" borderId="2" xfId="3" applyFont="1" applyFill="1" applyBorder="1" applyAlignment="1" applyProtection="1">
      <alignment horizontal="center"/>
      <protection locked="0"/>
    </xf>
    <xf numFmtId="0" fontId="4" fillId="8" borderId="7" xfId="3" applyFont="1" applyFill="1" applyBorder="1" applyAlignment="1" applyProtection="1">
      <alignment horizontal="center"/>
      <protection locked="0"/>
    </xf>
    <xf numFmtId="0" fontId="4" fillId="8" borderId="4" xfId="3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25" fillId="0" borderId="0" xfId="39"/>
    <xf numFmtId="0" fontId="37" fillId="0" borderId="0" xfId="0" applyFont="1" applyAlignment="1">
      <alignment horizontal="left"/>
    </xf>
    <xf numFmtId="0" fontId="37" fillId="5" borderId="0" xfId="0" applyFont="1" applyFill="1" applyAlignment="1">
      <alignment horizontal="left"/>
    </xf>
    <xf numFmtId="43" fontId="3" fillId="8" borderId="0" xfId="1" applyFont="1" applyFill="1" applyAlignment="1">
      <alignment horizontal="left"/>
    </xf>
    <xf numFmtId="43" fontId="3" fillId="8" borderId="0" xfId="1" applyFont="1" applyFill="1" applyAlignment="1">
      <alignment horizontal="right"/>
    </xf>
    <xf numFmtId="43" fontId="3" fillId="8" borderId="0" xfId="1" applyFont="1" applyFill="1"/>
    <xf numFmtId="43" fontId="48" fillId="8" borderId="0" xfId="1" applyFont="1" applyFill="1" applyAlignment="1">
      <alignment horizontal="right"/>
    </xf>
    <xf numFmtId="43" fontId="48" fillId="8" borderId="2" xfId="1" applyFont="1" applyFill="1" applyBorder="1" applyAlignment="1">
      <alignment horizontal="right"/>
    </xf>
  </cellXfs>
  <cellStyles count="78">
    <cellStyle name="Comma" xfId="1" builtinId="3"/>
    <cellStyle name="Comma [0] 2" xfId="59" xr:uid="{4BAA1AE7-02FE-4159-9B9A-490565FD604E}"/>
    <cellStyle name="Comma 10" xfId="74" xr:uid="{115452BF-28D5-45D7-B7C1-E8E827739126}"/>
    <cellStyle name="Comma 11" xfId="75" xr:uid="{8F3A36D9-8727-4109-BF74-FC7E71253E35}"/>
    <cellStyle name="Comma 12" xfId="77" xr:uid="{DBFC02BF-F3A7-49ED-86DC-2ABB076BF7CC}"/>
    <cellStyle name="Comma 2" xfId="50" xr:uid="{00000000-0005-0000-0000-000001000000}"/>
    <cellStyle name="Comma 3" xfId="58" xr:uid="{B34E694F-55E9-41DF-A5D8-FC96C9B06C67}"/>
    <cellStyle name="Comma 4" xfId="61" xr:uid="{0962AE6E-D830-4D68-A770-0DF21CDD48A9}"/>
    <cellStyle name="Comma 5" xfId="63" xr:uid="{2D76F522-E850-4172-AABC-FCE5103D5C1E}"/>
    <cellStyle name="Comma 6" xfId="65" xr:uid="{0F71407A-E7E2-465B-A84B-35EB458FA566}"/>
    <cellStyle name="Comma 7" xfId="67" xr:uid="{B94A6276-10A9-4524-B8B9-D9661DF60B5E}"/>
    <cellStyle name="Comma 8" xfId="69" xr:uid="{B2DBF76E-B09D-4EF4-BE01-238C234EB680}"/>
    <cellStyle name="Comma 9" xfId="71" xr:uid="{9CBCA76E-4DA9-45E8-865A-7017B4E8B0B4}"/>
    <cellStyle name="Currency" xfId="2" builtinId="4"/>
    <cellStyle name="Currency [0] 2" xfId="57" xr:uid="{9BE2FB91-F710-44E1-86BD-24135F4729F8}"/>
    <cellStyle name="Currency 10" xfId="72" xr:uid="{22055AC9-00AC-4B46-8FE0-54F48B2B3CA8}"/>
    <cellStyle name="Currency 11" xfId="73" xr:uid="{A3721756-369F-49F3-88CE-3535DA640F7E}"/>
    <cellStyle name="Currency 12" xfId="76" xr:uid="{14685A66-153D-47F0-A54F-61ECBB8B90B9}"/>
    <cellStyle name="Currency 2" xfId="51" xr:uid="{00000000-0005-0000-0000-000003000000}"/>
    <cellStyle name="Currency 3" xfId="56" xr:uid="{02FCA4AD-50F3-4BBD-A21B-A8B4C14FE301}"/>
    <cellStyle name="Currency 4" xfId="60" xr:uid="{E11682F3-594C-487D-B571-9E779B013D7B}"/>
    <cellStyle name="Currency 5" xfId="62" xr:uid="{C142A675-8A4B-4CE3-A5C5-7FA48F41C3EE}"/>
    <cellStyle name="Currency 6" xfId="64" xr:uid="{219EEF92-28B5-4786-A328-2BDD58C41981}"/>
    <cellStyle name="Currency 7" xfId="66" xr:uid="{2E085E8A-BCB0-47D2-9BB0-2D13DD9E3223}"/>
    <cellStyle name="Currency 8" xfId="68" xr:uid="{7778750D-2E8E-4EA6-BEDD-B088EA1911D6}"/>
    <cellStyle name="Currency 9" xfId="70" xr:uid="{1EF9E966-0104-4C15-9C7B-41D9ABB745B0}"/>
    <cellStyle name="Normal" xfId="0" builtinId="0"/>
    <cellStyle name="Normal 10" xfId="11" xr:uid="{00000000-0005-0000-0000-000005000000}"/>
    <cellStyle name="Normal 10 2" xfId="27" xr:uid="{00000000-0005-0000-0000-000006000000}"/>
    <cellStyle name="Normal 11" xfId="12" xr:uid="{00000000-0005-0000-0000-000007000000}"/>
    <cellStyle name="Normal 11 2" xfId="28" xr:uid="{00000000-0005-0000-0000-000008000000}"/>
    <cellStyle name="Normal 12" xfId="13" xr:uid="{00000000-0005-0000-0000-000009000000}"/>
    <cellStyle name="Normal 12 2" xfId="29" xr:uid="{00000000-0005-0000-0000-00000A000000}"/>
    <cellStyle name="Normal 13" xfId="14" xr:uid="{00000000-0005-0000-0000-00000B000000}"/>
    <cellStyle name="Normal 13 2" xfId="30" xr:uid="{00000000-0005-0000-0000-00000C000000}"/>
    <cellStyle name="Normal 14" xfId="15" xr:uid="{00000000-0005-0000-0000-00000D000000}"/>
    <cellStyle name="Normal 14 2" xfId="31" xr:uid="{00000000-0005-0000-0000-00000E000000}"/>
    <cellStyle name="Normal 15" xfId="16" xr:uid="{00000000-0005-0000-0000-00000F000000}"/>
    <cellStyle name="Normal 15 2" xfId="32" xr:uid="{00000000-0005-0000-0000-000010000000}"/>
    <cellStyle name="Normal 16" xfId="17" xr:uid="{00000000-0005-0000-0000-000011000000}"/>
    <cellStyle name="Normal 16 2" xfId="33" xr:uid="{00000000-0005-0000-0000-000012000000}"/>
    <cellStyle name="Normal 17" xfId="18" xr:uid="{00000000-0005-0000-0000-000013000000}"/>
    <cellStyle name="Normal 17 2" xfId="34" xr:uid="{00000000-0005-0000-0000-000014000000}"/>
    <cellStyle name="Normal 18" xfId="19" xr:uid="{00000000-0005-0000-0000-000015000000}"/>
    <cellStyle name="Normal 18 2" xfId="35" xr:uid="{00000000-0005-0000-0000-000016000000}"/>
    <cellStyle name="Normal 19" xfId="36" xr:uid="{00000000-0005-0000-0000-000017000000}"/>
    <cellStyle name="Normal 2" xfId="3" xr:uid="{00000000-0005-0000-0000-000018000000}"/>
    <cellStyle name="Normal 20" xfId="37" xr:uid="{00000000-0005-0000-0000-000019000000}"/>
    <cellStyle name="Normal 21" xfId="38" xr:uid="{00000000-0005-0000-0000-00001A000000}"/>
    <cellStyle name="Normal 22" xfId="39" xr:uid="{00000000-0005-0000-0000-00001B000000}"/>
    <cellStyle name="Normal 23" xfId="40" xr:uid="{00000000-0005-0000-0000-00001C000000}"/>
    <cellStyle name="Normal 24" xfId="41" xr:uid="{00000000-0005-0000-0000-00001D000000}"/>
    <cellStyle name="Normal 25" xfId="42" xr:uid="{00000000-0005-0000-0000-00001E000000}"/>
    <cellStyle name="Normal 26" xfId="43" xr:uid="{00000000-0005-0000-0000-00001F000000}"/>
    <cellStyle name="Normal 27" xfId="44" xr:uid="{00000000-0005-0000-0000-000020000000}"/>
    <cellStyle name="Normal 28" xfId="45" xr:uid="{00000000-0005-0000-0000-000021000000}"/>
    <cellStyle name="Normal 29" xfId="46" xr:uid="{00000000-0005-0000-0000-000022000000}"/>
    <cellStyle name="Normal 3" xfId="4" xr:uid="{00000000-0005-0000-0000-000023000000}"/>
    <cellStyle name="Normal 3 2" xfId="20" xr:uid="{00000000-0005-0000-0000-000024000000}"/>
    <cellStyle name="Normal 30" xfId="47" xr:uid="{00000000-0005-0000-0000-000025000000}"/>
    <cellStyle name="Normal 31" xfId="48" xr:uid="{00000000-0005-0000-0000-000026000000}"/>
    <cellStyle name="Normal 32" xfId="49" xr:uid="{00000000-0005-0000-0000-000027000000}"/>
    <cellStyle name="Normal 4" xfId="5" xr:uid="{00000000-0005-0000-0000-000028000000}"/>
    <cellStyle name="Normal 4 2" xfId="21" xr:uid="{00000000-0005-0000-0000-000029000000}"/>
    <cellStyle name="Normal 5" xfId="6" xr:uid="{00000000-0005-0000-0000-00002A000000}"/>
    <cellStyle name="Normal 5 2" xfId="22" xr:uid="{00000000-0005-0000-0000-00002B000000}"/>
    <cellStyle name="Normal 6" xfId="7" xr:uid="{00000000-0005-0000-0000-00002C000000}"/>
    <cellStyle name="Normal 6 2" xfId="23" xr:uid="{00000000-0005-0000-0000-00002D000000}"/>
    <cellStyle name="Normal 7" xfId="8" xr:uid="{00000000-0005-0000-0000-00002E000000}"/>
    <cellStyle name="Normal 7 2" xfId="24" xr:uid="{00000000-0005-0000-0000-00002F000000}"/>
    <cellStyle name="Normal 8" xfId="9" xr:uid="{00000000-0005-0000-0000-000030000000}"/>
    <cellStyle name="Normal 8 2" xfId="25" xr:uid="{00000000-0005-0000-0000-000031000000}"/>
    <cellStyle name="Normal 9" xfId="10" xr:uid="{00000000-0005-0000-0000-000032000000}"/>
    <cellStyle name="Normal 9 2" xfId="26" xr:uid="{00000000-0005-0000-0000-000033000000}"/>
    <cellStyle name="Percent" xfId="54" builtinId="5"/>
    <cellStyle name="Percent 2" xfId="52" xr:uid="{00000000-0005-0000-0000-000034000000}"/>
    <cellStyle name="Percent 3" xfId="53" xr:uid="{00000000-0005-0000-0000-000035000000}"/>
    <cellStyle name="Percent 4" xfId="55" xr:uid="{F0BA3892-244B-43AD-9473-6314E926693F}"/>
  </cellStyles>
  <dxfs count="0"/>
  <tableStyles count="0" defaultTableStyle="TableStyleMedium9" defaultPivotStyle="PivotStyleLight16"/>
  <colors>
    <mruColors>
      <color rgb="FF8DB4E2"/>
      <color rgb="FF0000FF"/>
      <color rgb="FFFEBEED"/>
      <color rgb="FFFFFFCC"/>
      <color rgb="FFFA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workbookViewId="0">
      <selection activeCell="D16" sqref="D16"/>
    </sheetView>
  </sheetViews>
  <sheetFormatPr defaultRowHeight="15" x14ac:dyDescent="0.25"/>
  <cols>
    <col min="2" max="2" width="41" bestFit="1" customWidth="1"/>
    <col min="3" max="3" width="14.140625" bestFit="1" customWidth="1"/>
    <col min="4" max="4" width="16.5703125" customWidth="1"/>
    <col min="5" max="5" width="20.85546875" bestFit="1" customWidth="1"/>
    <col min="6" max="7" width="20.85546875" customWidth="1"/>
    <col min="8" max="8" width="15.42578125" bestFit="1" customWidth="1"/>
  </cols>
  <sheetData>
    <row r="1" spans="2:8" x14ac:dyDescent="0.25">
      <c r="B1" s="4" t="s">
        <v>0</v>
      </c>
      <c r="C1" s="4" t="s">
        <v>1</v>
      </c>
    </row>
    <row r="2" spans="2:8" x14ac:dyDescent="0.25">
      <c r="B2" s="4" t="s">
        <v>2</v>
      </c>
    </row>
    <row r="3" spans="2:8" x14ac:dyDescent="0.25">
      <c r="B3" s="4" t="s">
        <v>3</v>
      </c>
    </row>
    <row r="4" spans="2:8" x14ac:dyDescent="0.25">
      <c r="B4" s="177" t="s">
        <v>4</v>
      </c>
      <c r="C4" s="177"/>
      <c r="D4" s="177"/>
      <c r="E4" s="177"/>
      <c r="F4" s="177"/>
      <c r="G4" s="177"/>
      <c r="H4" s="177"/>
    </row>
    <row r="5" spans="2:8" x14ac:dyDescent="0.25">
      <c r="B5" s="2" t="s">
        <v>5</v>
      </c>
      <c r="C5" s="3"/>
    </row>
    <row r="6" spans="2:8" x14ac:dyDescent="0.25"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2:8" x14ac:dyDescent="0.25">
      <c r="B7" t="s">
        <v>11</v>
      </c>
    </row>
    <row r="8" spans="2:8" x14ac:dyDescent="0.25">
      <c r="B8" t="s">
        <v>12</v>
      </c>
    </row>
    <row r="9" spans="2:8" x14ac:dyDescent="0.25">
      <c r="B9" t="s">
        <v>13</v>
      </c>
    </row>
    <row r="10" spans="2:8" x14ac:dyDescent="0.25">
      <c r="B10" t="s">
        <v>14</v>
      </c>
    </row>
    <row r="11" spans="2:8" x14ac:dyDescent="0.25">
      <c r="B11" t="s">
        <v>15</v>
      </c>
    </row>
    <row r="12" spans="2:8" x14ac:dyDescent="0.25">
      <c r="B12" s="1" t="s">
        <v>16</v>
      </c>
    </row>
    <row r="13" spans="2:8" x14ac:dyDescent="0.25">
      <c r="B13" s="2" t="s">
        <v>17</v>
      </c>
      <c r="C13" s="3"/>
    </row>
    <row r="14" spans="2:8" x14ac:dyDescent="0.25">
      <c r="B14" t="s">
        <v>18</v>
      </c>
    </row>
    <row r="15" spans="2:8" x14ac:dyDescent="0.25">
      <c r="B15" t="s">
        <v>19</v>
      </c>
    </row>
    <row r="16" spans="2:8" x14ac:dyDescent="0.25">
      <c r="B16" t="s">
        <v>20</v>
      </c>
    </row>
    <row r="17" spans="1:9" x14ac:dyDescent="0.25">
      <c r="B17" t="s">
        <v>21</v>
      </c>
    </row>
    <row r="18" spans="1:9" x14ac:dyDescent="0.25">
      <c r="B18" s="1" t="s">
        <v>22</v>
      </c>
    </row>
    <row r="19" spans="1:9" x14ac:dyDescent="0.25">
      <c r="B19" s="2" t="s">
        <v>23</v>
      </c>
      <c r="C19" s="3"/>
    </row>
    <row r="20" spans="1:9" x14ac:dyDescent="0.25">
      <c r="B20" t="s">
        <v>24</v>
      </c>
    </row>
    <row r="21" spans="1:9" x14ac:dyDescent="0.25">
      <c r="B21" t="s">
        <v>25</v>
      </c>
    </row>
    <row r="22" spans="1:9" x14ac:dyDescent="0.25">
      <c r="B22" s="1" t="s">
        <v>26</v>
      </c>
    </row>
    <row r="23" spans="1:9" x14ac:dyDescent="0.25">
      <c r="B23" s="178" t="s">
        <v>27</v>
      </c>
      <c r="C23" s="178"/>
      <c r="D23" s="178"/>
      <c r="E23" s="178"/>
      <c r="F23" s="178"/>
      <c r="G23" s="178"/>
      <c r="H23" s="178"/>
    </row>
    <row r="24" spans="1:9" x14ac:dyDescent="0.25">
      <c r="B24" s="2" t="s">
        <v>28</v>
      </c>
      <c r="C24" s="3"/>
      <c r="D24" s="176" t="s">
        <v>29</v>
      </c>
      <c r="E24" s="176"/>
      <c r="F24" s="176"/>
      <c r="G24" s="176"/>
      <c r="H24" s="176"/>
      <c r="I24" s="1" t="s">
        <v>30</v>
      </c>
    </row>
    <row r="25" spans="1:9" x14ac:dyDescent="0.25">
      <c r="B25" s="3"/>
      <c r="C25" s="3" t="s">
        <v>31</v>
      </c>
      <c r="D25" s="1" t="s">
        <v>32</v>
      </c>
      <c r="E25" s="1" t="s">
        <v>32</v>
      </c>
      <c r="F25" s="1"/>
      <c r="G25" s="1"/>
      <c r="H25" s="1" t="s">
        <v>32</v>
      </c>
    </row>
    <row r="26" spans="1:9" x14ac:dyDescent="0.25">
      <c r="B26" t="s">
        <v>33</v>
      </c>
    </row>
    <row r="27" spans="1:9" x14ac:dyDescent="0.25">
      <c r="B27" t="s">
        <v>34</v>
      </c>
    </row>
    <row r="28" spans="1:9" x14ac:dyDescent="0.25">
      <c r="B28" t="s">
        <v>35</v>
      </c>
    </row>
    <row r="29" spans="1:9" x14ac:dyDescent="0.25">
      <c r="B29" t="s">
        <v>36</v>
      </c>
    </row>
    <row r="30" spans="1:9" x14ac:dyDescent="0.25">
      <c r="B30" s="1" t="s">
        <v>37</v>
      </c>
    </row>
    <row r="31" spans="1:9" x14ac:dyDescent="0.25">
      <c r="B31" s="2" t="s">
        <v>38</v>
      </c>
      <c r="C31" s="3"/>
    </row>
    <row r="32" spans="1:9" x14ac:dyDescent="0.25">
      <c r="A32">
        <v>5000</v>
      </c>
      <c r="B32" t="s">
        <v>39</v>
      </c>
    </row>
    <row r="33" spans="1:2" x14ac:dyDescent="0.25">
      <c r="A33">
        <v>6000</v>
      </c>
      <c r="B33" t="s">
        <v>40</v>
      </c>
    </row>
    <row r="34" spans="1:2" x14ac:dyDescent="0.25">
      <c r="A34">
        <v>7100</v>
      </c>
      <c r="B34" t="s">
        <v>41</v>
      </c>
    </row>
    <row r="35" spans="1:2" x14ac:dyDescent="0.25">
      <c r="A35">
        <v>7300</v>
      </c>
      <c r="B35" t="s">
        <v>42</v>
      </c>
    </row>
    <row r="36" spans="1:2" x14ac:dyDescent="0.25">
      <c r="A36">
        <v>7400</v>
      </c>
      <c r="B36" t="s">
        <v>43</v>
      </c>
    </row>
    <row r="37" spans="1:2" x14ac:dyDescent="0.25">
      <c r="A37">
        <v>7500</v>
      </c>
      <c r="B37" t="s">
        <v>44</v>
      </c>
    </row>
    <row r="38" spans="1:2" x14ac:dyDescent="0.25">
      <c r="A38">
        <v>7600</v>
      </c>
      <c r="B38" t="s">
        <v>45</v>
      </c>
    </row>
    <row r="39" spans="1:2" x14ac:dyDescent="0.25">
      <c r="A39">
        <v>7700</v>
      </c>
      <c r="B39" t="s">
        <v>46</v>
      </c>
    </row>
    <row r="40" spans="1:2" x14ac:dyDescent="0.25">
      <c r="A40">
        <v>7800</v>
      </c>
      <c r="B40" t="s">
        <v>47</v>
      </c>
    </row>
    <row r="41" spans="1:2" x14ac:dyDescent="0.25">
      <c r="A41">
        <v>7900</v>
      </c>
      <c r="B41" t="s">
        <v>48</v>
      </c>
    </row>
    <row r="42" spans="1:2" x14ac:dyDescent="0.25">
      <c r="A42" t="s">
        <v>49</v>
      </c>
      <c r="B42" t="s">
        <v>50</v>
      </c>
    </row>
    <row r="43" spans="1:2" x14ac:dyDescent="0.25">
      <c r="A43">
        <v>8100</v>
      </c>
      <c r="B43" t="s">
        <v>51</v>
      </c>
    </row>
    <row r="44" spans="1:2" x14ac:dyDescent="0.25">
      <c r="A44">
        <v>8200</v>
      </c>
      <c r="B44" t="s">
        <v>52</v>
      </c>
    </row>
    <row r="45" spans="1:2" x14ac:dyDescent="0.25">
      <c r="A45">
        <v>9100</v>
      </c>
      <c r="B45" t="s">
        <v>53</v>
      </c>
    </row>
    <row r="46" spans="1:2" x14ac:dyDescent="0.25">
      <c r="A46">
        <v>9200</v>
      </c>
      <c r="B46" t="s">
        <v>8</v>
      </c>
    </row>
    <row r="47" spans="1:2" x14ac:dyDescent="0.25">
      <c r="B47" t="s">
        <v>54</v>
      </c>
    </row>
    <row r="48" spans="1:2" x14ac:dyDescent="0.25">
      <c r="B48" s="1" t="s">
        <v>55</v>
      </c>
    </row>
    <row r="49" spans="2:3" x14ac:dyDescent="0.25">
      <c r="B49" s="2" t="s">
        <v>56</v>
      </c>
    </row>
    <row r="50" spans="2:3" x14ac:dyDescent="0.25">
      <c r="B50" t="s">
        <v>57</v>
      </c>
    </row>
    <row r="51" spans="2:3" x14ac:dyDescent="0.25">
      <c r="B51" t="s">
        <v>58</v>
      </c>
    </row>
    <row r="52" spans="2:3" x14ac:dyDescent="0.25">
      <c r="B52" s="2" t="s">
        <v>59</v>
      </c>
      <c r="C52" s="3"/>
    </row>
    <row r="53" spans="2:3" x14ac:dyDescent="0.25">
      <c r="B53" s="3" t="s">
        <v>60</v>
      </c>
      <c r="C53" s="3"/>
    </row>
    <row r="54" spans="2:3" x14ac:dyDescent="0.25">
      <c r="B54" s="3" t="s">
        <v>61</v>
      </c>
      <c r="C54" s="3"/>
    </row>
  </sheetData>
  <mergeCells count="3">
    <mergeCell ref="D24:H24"/>
    <mergeCell ref="B4:H4"/>
    <mergeCell ref="B23:H23"/>
  </mergeCells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64"/>
  <sheetViews>
    <sheetView workbookViewId="0">
      <selection sqref="A1:AK64"/>
    </sheetView>
  </sheetViews>
  <sheetFormatPr defaultColWidth="9.140625" defaultRowHeight="12.75" x14ac:dyDescent="0.2"/>
  <cols>
    <col min="1" max="16384" width="9.140625" style="5"/>
  </cols>
  <sheetData>
    <row r="1" spans="1:37" x14ac:dyDescent="0.2">
      <c r="A1" s="179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</row>
    <row r="2" spans="1:37" x14ac:dyDescent="0.2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</row>
    <row r="3" spans="1:37" x14ac:dyDescent="0.2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</row>
    <row r="4" spans="1:37" x14ac:dyDescent="0.2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</row>
    <row r="5" spans="1:37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</row>
    <row r="6" spans="1:37" x14ac:dyDescent="0.2">
      <c r="A6" s="179"/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</row>
    <row r="7" spans="1:37" x14ac:dyDescent="0.2">
      <c r="A7" s="179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</row>
    <row r="8" spans="1:37" x14ac:dyDescent="0.2">
      <c r="A8" s="179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</row>
    <row r="9" spans="1:37" x14ac:dyDescent="0.2">
      <c r="A9" s="179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</row>
    <row r="10" spans="1:37" x14ac:dyDescent="0.2">
      <c r="A10" s="179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</row>
    <row r="11" spans="1:37" x14ac:dyDescent="0.2">
      <c r="A11" s="179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</row>
    <row r="12" spans="1:37" x14ac:dyDescent="0.2">
      <c r="A12" s="179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</row>
    <row r="13" spans="1:37" x14ac:dyDescent="0.2">
      <c r="A13" s="179"/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</row>
    <row r="14" spans="1:37" x14ac:dyDescent="0.2">
      <c r="A14" s="179"/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</row>
    <row r="15" spans="1:37" x14ac:dyDescent="0.2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</row>
    <row r="16" spans="1:37" x14ac:dyDescent="0.2">
      <c r="A16" s="179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</row>
    <row r="17" spans="1:37" x14ac:dyDescent="0.2">
      <c r="A17" s="179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</row>
    <row r="18" spans="1:37" x14ac:dyDescent="0.2">
      <c r="A18" s="179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</row>
    <row r="19" spans="1:37" x14ac:dyDescent="0.2">
      <c r="A19" s="179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</row>
    <row r="20" spans="1:37" x14ac:dyDescent="0.2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</row>
    <row r="21" spans="1:37" x14ac:dyDescent="0.2">
      <c r="A21" s="179"/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</row>
    <row r="22" spans="1:37" x14ac:dyDescent="0.2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</row>
    <row r="23" spans="1:37" x14ac:dyDescent="0.2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</row>
    <row r="24" spans="1:37" x14ac:dyDescent="0.2">
      <c r="A24" s="179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</row>
    <row r="25" spans="1:37" x14ac:dyDescent="0.2">
      <c r="A25" s="179"/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</row>
    <row r="26" spans="1:37" x14ac:dyDescent="0.2">
      <c r="A26" s="179"/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</row>
    <row r="27" spans="1:37" x14ac:dyDescent="0.2">
      <c r="A27" s="179"/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</row>
    <row r="28" spans="1:37" x14ac:dyDescent="0.2">
      <c r="A28" s="179"/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</row>
    <row r="29" spans="1:37" x14ac:dyDescent="0.2">
      <c r="A29" s="179"/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</row>
    <row r="30" spans="1:37" x14ac:dyDescent="0.2">
      <c r="A30" s="179"/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</row>
    <row r="31" spans="1:37" x14ac:dyDescent="0.2">
      <c r="A31" s="179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</row>
    <row r="32" spans="1:37" x14ac:dyDescent="0.2">
      <c r="A32" s="179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</row>
    <row r="33" spans="1:37" x14ac:dyDescent="0.2">
      <c r="A33" s="179"/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</row>
    <row r="34" spans="1:37" x14ac:dyDescent="0.2">
      <c r="A34" s="179"/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</row>
    <row r="35" spans="1:37" x14ac:dyDescent="0.2">
      <c r="A35" s="179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</row>
    <row r="36" spans="1:37" x14ac:dyDescent="0.2">
      <c r="A36" s="179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</row>
    <row r="37" spans="1:37" x14ac:dyDescent="0.2">
      <c r="A37" s="179"/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79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</row>
    <row r="38" spans="1:37" x14ac:dyDescent="0.2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</row>
    <row r="39" spans="1:37" x14ac:dyDescent="0.2">
      <c r="A39" s="179"/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</row>
    <row r="40" spans="1:37" x14ac:dyDescent="0.2">
      <c r="A40" s="179"/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</row>
    <row r="41" spans="1:37" x14ac:dyDescent="0.2">
      <c r="A41" s="179"/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</row>
    <row r="42" spans="1:37" x14ac:dyDescent="0.2">
      <c r="A42" s="179"/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</row>
    <row r="43" spans="1:37" x14ac:dyDescent="0.2">
      <c r="A43" s="179"/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</row>
    <row r="44" spans="1:37" x14ac:dyDescent="0.2">
      <c r="A44" s="179"/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</row>
    <row r="45" spans="1:37" x14ac:dyDescent="0.2">
      <c r="A45" s="179"/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</row>
    <row r="46" spans="1:37" x14ac:dyDescent="0.2">
      <c r="A46" s="179"/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79"/>
      <c r="AK46" s="179"/>
    </row>
    <row r="47" spans="1:37" x14ac:dyDescent="0.2">
      <c r="A47" s="179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79"/>
      <c r="AK47" s="179"/>
    </row>
    <row r="48" spans="1:37" x14ac:dyDescent="0.2">
      <c r="A48" s="179"/>
      <c r="B48" s="179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</row>
    <row r="49" spans="1:37" x14ac:dyDescent="0.2">
      <c r="A49" s="179"/>
      <c r="B49" s="179"/>
      <c r="C49" s="179"/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</row>
    <row r="50" spans="1:37" x14ac:dyDescent="0.2">
      <c r="A50" s="179"/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</row>
    <row r="51" spans="1:37" x14ac:dyDescent="0.2">
      <c r="A51" s="179"/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</row>
    <row r="52" spans="1:37" x14ac:dyDescent="0.2">
      <c r="A52" s="179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</row>
    <row r="53" spans="1:37" x14ac:dyDescent="0.2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</row>
    <row r="54" spans="1:37" x14ac:dyDescent="0.2">
      <c r="A54" s="179"/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  <c r="Y54" s="179"/>
      <c r="Z54" s="179"/>
      <c r="AA54" s="179"/>
      <c r="AB54" s="179"/>
      <c r="AC54" s="179"/>
      <c r="AD54" s="179"/>
      <c r="AE54" s="179"/>
      <c r="AF54" s="179"/>
      <c r="AG54" s="179"/>
      <c r="AH54" s="179"/>
      <c r="AI54" s="179"/>
      <c r="AJ54" s="179"/>
      <c r="AK54" s="179"/>
    </row>
    <row r="55" spans="1:37" x14ac:dyDescent="0.2">
      <c r="A55" s="179"/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</row>
    <row r="56" spans="1:37" x14ac:dyDescent="0.2">
      <c r="A56" s="179"/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  <c r="Y56" s="179"/>
      <c r="Z56" s="179"/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/>
    </row>
    <row r="57" spans="1:37" x14ac:dyDescent="0.2">
      <c r="A57" s="179"/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  <c r="Y57" s="179"/>
      <c r="Z57" s="179"/>
      <c r="AA57" s="179"/>
      <c r="AB57" s="179"/>
      <c r="AC57" s="179"/>
      <c r="AD57" s="179"/>
      <c r="AE57" s="179"/>
      <c r="AF57" s="179"/>
      <c r="AG57" s="179"/>
      <c r="AH57" s="179"/>
      <c r="AI57" s="179"/>
      <c r="AJ57" s="179"/>
      <c r="AK57" s="179"/>
    </row>
    <row r="58" spans="1:37" x14ac:dyDescent="0.2">
      <c r="A58" s="179"/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</row>
    <row r="59" spans="1:37" x14ac:dyDescent="0.2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79"/>
      <c r="AK59" s="179"/>
    </row>
    <row r="60" spans="1:37" x14ac:dyDescent="0.2">
      <c r="A60" s="179"/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</row>
    <row r="61" spans="1:37" x14ac:dyDescent="0.2">
      <c r="A61" s="179"/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</row>
    <row r="62" spans="1:37" x14ac:dyDescent="0.2">
      <c r="A62" s="179"/>
      <c r="B62" s="179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</row>
    <row r="63" spans="1:37" x14ac:dyDescent="0.2">
      <c r="A63" s="179"/>
      <c r="B63" s="179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</row>
    <row r="64" spans="1:37" x14ac:dyDescent="0.2">
      <c r="A64" s="179"/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DB4E2"/>
  </sheetPr>
  <dimension ref="A1:C135"/>
  <sheetViews>
    <sheetView zoomScale="90" zoomScaleNormal="90" workbookViewId="0">
      <pane xSplit="1" ySplit="9" topLeftCell="B97" activePane="bottomRight" state="frozen"/>
      <selection activeCell="Y46" sqref="Y46"/>
      <selection pane="topRight" activeCell="Y46" sqref="Y46"/>
      <selection pane="bottomLeft" activeCell="Y46" sqref="Y46"/>
      <selection pane="bottomRight" activeCell="Y46" sqref="Y46"/>
    </sheetView>
  </sheetViews>
  <sheetFormatPr defaultColWidth="9.140625" defaultRowHeight="15" x14ac:dyDescent="0.25"/>
  <cols>
    <col min="1" max="1" width="49.140625" customWidth="1"/>
    <col min="2" max="2" width="22.42578125" customWidth="1"/>
    <col min="3" max="3" width="15.42578125" bestFit="1" customWidth="1"/>
    <col min="4" max="4" width="9.140625" customWidth="1"/>
  </cols>
  <sheetData>
    <row r="1" spans="1:3" ht="18" x14ac:dyDescent="0.25">
      <c r="A1" s="143" t="s">
        <v>62</v>
      </c>
    </row>
    <row r="2" spans="1:3" ht="18" x14ac:dyDescent="0.25">
      <c r="A2" s="143" t="s">
        <v>63</v>
      </c>
    </row>
    <row r="3" spans="1:3" ht="18" x14ac:dyDescent="0.25">
      <c r="A3" s="144" t="s">
        <v>483</v>
      </c>
    </row>
    <row r="4" spans="1:3" x14ac:dyDescent="0.25">
      <c r="A4" s="145" t="s">
        <v>64</v>
      </c>
      <c r="B4" s="145" t="s">
        <v>65</v>
      </c>
    </row>
    <row r="5" spans="1:3" x14ac:dyDescent="0.25">
      <c r="A5" s="145" t="s">
        <v>66</v>
      </c>
      <c r="B5" s="145" t="s">
        <v>484</v>
      </c>
    </row>
    <row r="6" spans="1:3" x14ac:dyDescent="0.25">
      <c r="A6" s="145" t="s">
        <v>67</v>
      </c>
      <c r="B6" s="145" t="s">
        <v>68</v>
      </c>
    </row>
    <row r="7" spans="1:3" x14ac:dyDescent="0.25">
      <c r="A7" s="146" t="s">
        <v>32</v>
      </c>
    </row>
    <row r="8" spans="1:3" x14ac:dyDescent="0.25">
      <c r="A8" s="147" t="s">
        <v>32</v>
      </c>
      <c r="B8" s="148" t="s">
        <v>69</v>
      </c>
      <c r="C8" s="148" t="s">
        <v>70</v>
      </c>
    </row>
    <row r="9" spans="1:3" x14ac:dyDescent="0.25">
      <c r="A9" s="147" t="s">
        <v>32</v>
      </c>
      <c r="B9" s="149" t="s">
        <v>484</v>
      </c>
      <c r="C9" s="149" t="s">
        <v>485</v>
      </c>
    </row>
    <row r="10" spans="1:3" x14ac:dyDescent="0.25">
      <c r="A10" s="150" t="s">
        <v>32</v>
      </c>
      <c r="B10" s="151" t="s">
        <v>32</v>
      </c>
      <c r="C10" s="151" t="s">
        <v>32</v>
      </c>
    </row>
    <row r="11" spans="1:3" x14ac:dyDescent="0.25">
      <c r="A11" s="147" t="s">
        <v>71</v>
      </c>
      <c r="B11" s="147" t="s">
        <v>72</v>
      </c>
      <c r="C11" s="147" t="s">
        <v>72</v>
      </c>
    </row>
    <row r="12" spans="1:3" x14ac:dyDescent="0.25">
      <c r="A12" s="180" t="s">
        <v>32</v>
      </c>
      <c r="B12" s="180"/>
      <c r="C12" s="180"/>
    </row>
    <row r="13" spans="1:3" x14ac:dyDescent="0.25">
      <c r="A13" s="147" t="s">
        <v>73</v>
      </c>
      <c r="B13" s="145" t="s">
        <v>74</v>
      </c>
      <c r="C13" s="145" t="s">
        <v>74</v>
      </c>
    </row>
    <row r="14" spans="1:3" x14ac:dyDescent="0.25">
      <c r="A14" s="145" t="s">
        <v>486</v>
      </c>
      <c r="B14" s="152">
        <v>143374.1</v>
      </c>
      <c r="C14" s="152">
        <v>87802.52</v>
      </c>
    </row>
    <row r="15" spans="1:3" x14ac:dyDescent="0.25">
      <c r="A15" s="145" t="s">
        <v>75</v>
      </c>
      <c r="B15" s="152">
        <v>197870.65</v>
      </c>
      <c r="C15" s="152">
        <v>223307.4</v>
      </c>
    </row>
    <row r="16" spans="1:3" x14ac:dyDescent="0.25">
      <c r="A16" s="145" t="s">
        <v>76</v>
      </c>
      <c r="B16" s="152">
        <v>20997.48</v>
      </c>
      <c r="C16" s="152">
        <v>15097.76</v>
      </c>
    </row>
    <row r="17" spans="1:3" x14ac:dyDescent="0.25">
      <c r="A17" s="145" t="s">
        <v>77</v>
      </c>
      <c r="B17" s="152">
        <v>203447.69</v>
      </c>
      <c r="C17" s="152">
        <v>591246.07999999996</v>
      </c>
    </row>
    <row r="18" spans="1:3" x14ac:dyDescent="0.25">
      <c r="A18" s="145" t="s">
        <v>78</v>
      </c>
      <c r="B18" s="152">
        <v>1207800</v>
      </c>
      <c r="C18" s="152">
        <v>1207800</v>
      </c>
    </row>
    <row r="19" spans="1:3" x14ac:dyDescent="0.25">
      <c r="A19" s="145" t="s">
        <v>79</v>
      </c>
      <c r="B19" s="152">
        <v>347532.14</v>
      </c>
      <c r="C19" s="152">
        <v>521392.88</v>
      </c>
    </row>
    <row r="20" spans="1:3" x14ac:dyDescent="0.25">
      <c r="A20" s="145" t="s">
        <v>480</v>
      </c>
      <c r="B20" s="152">
        <v>12383.81</v>
      </c>
      <c r="C20" s="152">
        <v>0</v>
      </c>
    </row>
    <row r="21" spans="1:3" x14ac:dyDescent="0.25">
      <c r="A21" s="145" t="s">
        <v>80</v>
      </c>
      <c r="B21" s="152">
        <v>1489.63</v>
      </c>
      <c r="C21" s="152">
        <v>120611.26</v>
      </c>
    </row>
    <row r="22" spans="1:3" x14ac:dyDescent="0.25">
      <c r="A22" s="145" t="s">
        <v>81</v>
      </c>
      <c r="B22" s="152">
        <v>300</v>
      </c>
      <c r="C22" s="152">
        <v>300</v>
      </c>
    </row>
    <row r="23" spans="1:3" x14ac:dyDescent="0.25">
      <c r="A23" s="145" t="s">
        <v>471</v>
      </c>
      <c r="B23" s="152">
        <v>200</v>
      </c>
      <c r="C23" s="152">
        <v>0</v>
      </c>
    </row>
    <row r="24" spans="1:3" x14ac:dyDescent="0.25">
      <c r="A24" s="145" t="s">
        <v>482</v>
      </c>
      <c r="B24" s="152">
        <v>200</v>
      </c>
      <c r="C24" s="152">
        <v>0</v>
      </c>
    </row>
    <row r="25" spans="1:3" x14ac:dyDescent="0.25">
      <c r="A25" s="145" t="s">
        <v>82</v>
      </c>
      <c r="B25" s="152">
        <v>50</v>
      </c>
      <c r="C25" s="152">
        <v>0</v>
      </c>
    </row>
    <row r="26" spans="1:3" x14ac:dyDescent="0.25">
      <c r="A26" s="147" t="s">
        <v>83</v>
      </c>
      <c r="B26" s="153">
        <v>2135645.5</v>
      </c>
      <c r="C26" s="153">
        <v>2767557.9</v>
      </c>
    </row>
    <row r="27" spans="1:3" x14ac:dyDescent="0.25">
      <c r="A27" s="180" t="s">
        <v>32</v>
      </c>
      <c r="B27" s="180"/>
      <c r="C27" s="180"/>
    </row>
    <row r="28" spans="1:3" x14ac:dyDescent="0.25">
      <c r="A28" s="147" t="s">
        <v>84</v>
      </c>
      <c r="B28" s="145" t="s">
        <v>74</v>
      </c>
      <c r="C28" s="145" t="s">
        <v>74</v>
      </c>
    </row>
    <row r="29" spans="1:3" x14ac:dyDescent="0.25">
      <c r="A29" s="145" t="s">
        <v>85</v>
      </c>
      <c r="B29" s="152">
        <v>0</v>
      </c>
      <c r="C29" s="152">
        <v>100</v>
      </c>
    </row>
    <row r="30" spans="1:3" x14ac:dyDescent="0.25">
      <c r="A30" s="145" t="s">
        <v>86</v>
      </c>
      <c r="B30" s="152">
        <v>0</v>
      </c>
      <c r="C30" s="152">
        <v>375.88</v>
      </c>
    </row>
    <row r="31" spans="1:3" x14ac:dyDescent="0.25">
      <c r="A31" s="145" t="s">
        <v>87</v>
      </c>
      <c r="B31" s="152">
        <v>43799.57</v>
      </c>
      <c r="C31" s="152">
        <v>38549.839999999997</v>
      </c>
    </row>
    <row r="32" spans="1:3" x14ac:dyDescent="0.25">
      <c r="A32" s="145" t="s">
        <v>88</v>
      </c>
      <c r="B32" s="152">
        <v>-623.30999999999995</v>
      </c>
      <c r="C32" s="152">
        <v>-504.31</v>
      </c>
    </row>
    <row r="33" spans="1:3" x14ac:dyDescent="0.25">
      <c r="A33" s="147" t="s">
        <v>89</v>
      </c>
      <c r="B33" s="153">
        <v>43176.26</v>
      </c>
      <c r="C33" s="153">
        <v>38521.410000000003</v>
      </c>
    </row>
    <row r="34" spans="1:3" x14ac:dyDescent="0.25">
      <c r="A34" s="180" t="s">
        <v>32</v>
      </c>
      <c r="B34" s="180"/>
      <c r="C34" s="180"/>
    </row>
    <row r="35" spans="1:3" x14ac:dyDescent="0.25">
      <c r="A35" s="147" t="s">
        <v>90</v>
      </c>
      <c r="B35" s="145" t="s">
        <v>74</v>
      </c>
      <c r="C35" s="145" t="s">
        <v>74</v>
      </c>
    </row>
    <row r="36" spans="1:3" x14ac:dyDescent="0.25">
      <c r="A36" s="145" t="s">
        <v>91</v>
      </c>
      <c r="B36" s="152">
        <v>29373.56</v>
      </c>
      <c r="C36" s="152">
        <v>12210.28</v>
      </c>
    </row>
    <row r="37" spans="1:3" x14ac:dyDescent="0.25">
      <c r="A37" s="145" t="s">
        <v>92</v>
      </c>
      <c r="B37" s="152">
        <v>0</v>
      </c>
      <c r="C37" s="152">
        <v>0</v>
      </c>
    </row>
    <row r="38" spans="1:3" x14ac:dyDescent="0.25">
      <c r="A38" s="145" t="s">
        <v>487</v>
      </c>
      <c r="B38" s="152">
        <v>1626.67</v>
      </c>
      <c r="C38" s="152">
        <v>0</v>
      </c>
    </row>
    <row r="39" spans="1:3" x14ac:dyDescent="0.25">
      <c r="A39" s="145" t="s">
        <v>93</v>
      </c>
      <c r="B39" s="152">
        <v>420.4</v>
      </c>
      <c r="C39" s="152">
        <v>348.98</v>
      </c>
    </row>
    <row r="40" spans="1:3" x14ac:dyDescent="0.25">
      <c r="A40" s="145" t="s">
        <v>94</v>
      </c>
      <c r="B40" s="152">
        <v>390.09</v>
      </c>
      <c r="C40" s="152">
        <v>101.53</v>
      </c>
    </row>
    <row r="41" spans="1:3" x14ac:dyDescent="0.25">
      <c r="A41" s="145" t="s">
        <v>95</v>
      </c>
      <c r="B41" s="152">
        <v>23.75</v>
      </c>
      <c r="C41" s="152">
        <v>100.37</v>
      </c>
    </row>
    <row r="42" spans="1:3" x14ac:dyDescent="0.25">
      <c r="A42" s="145" t="s">
        <v>96</v>
      </c>
      <c r="B42" s="152">
        <v>165</v>
      </c>
      <c r="C42" s="152">
        <v>110</v>
      </c>
    </row>
    <row r="43" spans="1:3" x14ac:dyDescent="0.25">
      <c r="A43" s="145" t="s">
        <v>97</v>
      </c>
      <c r="B43" s="152">
        <v>1925</v>
      </c>
      <c r="C43" s="152">
        <v>3100</v>
      </c>
    </row>
    <row r="44" spans="1:3" x14ac:dyDescent="0.25">
      <c r="A44" s="145" t="s">
        <v>98</v>
      </c>
      <c r="B44" s="152">
        <v>58946.45</v>
      </c>
      <c r="C44" s="152">
        <v>5369.29</v>
      </c>
    </row>
    <row r="45" spans="1:3" x14ac:dyDescent="0.25">
      <c r="A45" s="145" t="s">
        <v>99</v>
      </c>
      <c r="B45" s="152">
        <v>116162</v>
      </c>
      <c r="C45" s="152">
        <v>116162</v>
      </c>
    </row>
    <row r="46" spans="1:3" x14ac:dyDescent="0.25">
      <c r="A46" s="147" t="s">
        <v>100</v>
      </c>
      <c r="B46" s="153">
        <v>209032.92</v>
      </c>
      <c r="C46" s="153">
        <v>137502.45000000001</v>
      </c>
    </row>
    <row r="47" spans="1:3" x14ac:dyDescent="0.25">
      <c r="A47" s="180" t="s">
        <v>32</v>
      </c>
      <c r="B47" s="180"/>
      <c r="C47" s="180"/>
    </row>
    <row r="48" spans="1:3" x14ac:dyDescent="0.25">
      <c r="A48" s="147" t="s">
        <v>101</v>
      </c>
      <c r="B48" s="145" t="s">
        <v>74</v>
      </c>
      <c r="C48" s="145" t="s">
        <v>74</v>
      </c>
    </row>
    <row r="49" spans="1:3" x14ac:dyDescent="0.25">
      <c r="A49" s="145" t="s">
        <v>102</v>
      </c>
      <c r="B49" s="152">
        <v>2615169.9</v>
      </c>
      <c r="C49" s="152">
        <v>2615169.9</v>
      </c>
    </row>
    <row r="50" spans="1:3" x14ac:dyDescent="0.25">
      <c r="A50" s="145" t="s">
        <v>103</v>
      </c>
      <c r="B50" s="152">
        <v>812445.49</v>
      </c>
      <c r="C50" s="152">
        <v>812445.49</v>
      </c>
    </row>
    <row r="51" spans="1:3" x14ac:dyDescent="0.25">
      <c r="A51" s="145" t="s">
        <v>104</v>
      </c>
      <c r="B51" s="152">
        <v>12605498.050000001</v>
      </c>
      <c r="C51" s="152">
        <v>12605498.050000001</v>
      </c>
    </row>
    <row r="52" spans="1:3" x14ac:dyDescent="0.25">
      <c r="A52" s="145" t="s">
        <v>105</v>
      </c>
      <c r="B52" s="152">
        <v>632339.06000000006</v>
      </c>
      <c r="C52" s="152">
        <v>632339.06000000006</v>
      </c>
    </row>
    <row r="53" spans="1:3" x14ac:dyDescent="0.25">
      <c r="A53" s="145" t="s">
        <v>106</v>
      </c>
      <c r="B53" s="152">
        <v>-6434233.5700000003</v>
      </c>
      <c r="C53" s="152">
        <v>-6434233.5700000003</v>
      </c>
    </row>
    <row r="54" spans="1:3" x14ac:dyDescent="0.25">
      <c r="A54" s="145" t="s">
        <v>107</v>
      </c>
      <c r="B54" s="152">
        <v>3785734.71</v>
      </c>
      <c r="C54" s="152">
        <v>4887328.71</v>
      </c>
    </row>
    <row r="55" spans="1:3" x14ac:dyDescent="0.25">
      <c r="A55" s="147" t="s">
        <v>108</v>
      </c>
      <c r="B55" s="153">
        <v>14016953.640000001</v>
      </c>
      <c r="C55" s="153">
        <v>15118547.640000001</v>
      </c>
    </row>
    <row r="56" spans="1:3" x14ac:dyDescent="0.25">
      <c r="A56" s="180" t="s">
        <v>32</v>
      </c>
      <c r="B56" s="180"/>
      <c r="C56" s="180"/>
    </row>
    <row r="57" spans="1:3" ht="15.75" thickBot="1" x14ac:dyDescent="0.3">
      <c r="A57" s="147" t="s">
        <v>109</v>
      </c>
      <c r="B57" s="154">
        <v>16404808.32</v>
      </c>
      <c r="C57" s="154">
        <v>18062129.399999999</v>
      </c>
    </row>
    <row r="58" spans="1:3" ht="15.75" thickTop="1" x14ac:dyDescent="0.25">
      <c r="A58" s="180" t="s">
        <v>32</v>
      </c>
      <c r="B58" s="180"/>
      <c r="C58" s="180"/>
    </row>
    <row r="59" spans="1:3" x14ac:dyDescent="0.25">
      <c r="A59" s="147" t="s">
        <v>110</v>
      </c>
      <c r="B59" s="147" t="s">
        <v>72</v>
      </c>
      <c r="C59" s="147" t="s">
        <v>72</v>
      </c>
    </row>
    <row r="60" spans="1:3" x14ac:dyDescent="0.25">
      <c r="A60" s="180" t="s">
        <v>32</v>
      </c>
      <c r="B60" s="180"/>
      <c r="C60" s="180"/>
    </row>
    <row r="61" spans="1:3" x14ac:dyDescent="0.25">
      <c r="A61" s="147" t="s">
        <v>111</v>
      </c>
      <c r="B61" s="145" t="s">
        <v>74</v>
      </c>
      <c r="C61" s="145" t="s">
        <v>74</v>
      </c>
    </row>
    <row r="62" spans="1:3" x14ac:dyDescent="0.25">
      <c r="A62" s="145" t="s">
        <v>112</v>
      </c>
      <c r="B62" s="152">
        <v>357955.55</v>
      </c>
      <c r="C62" s="152">
        <v>357955.55</v>
      </c>
    </row>
    <row r="63" spans="1:3" x14ac:dyDescent="0.25">
      <c r="A63" s="147" t="s">
        <v>113</v>
      </c>
      <c r="B63" s="153">
        <v>357955.55</v>
      </c>
      <c r="C63" s="153">
        <v>357955.55</v>
      </c>
    </row>
    <row r="64" spans="1:3" x14ac:dyDescent="0.25">
      <c r="A64" s="180" t="s">
        <v>32</v>
      </c>
      <c r="B64" s="180"/>
      <c r="C64" s="180"/>
    </row>
    <row r="65" spans="1:3" x14ac:dyDescent="0.25">
      <c r="A65" s="147" t="s">
        <v>114</v>
      </c>
      <c r="B65" s="145" t="s">
        <v>74</v>
      </c>
      <c r="C65" s="145" t="s">
        <v>74</v>
      </c>
    </row>
    <row r="66" spans="1:3" x14ac:dyDescent="0.25">
      <c r="A66" s="145" t="s">
        <v>115</v>
      </c>
      <c r="B66" s="152">
        <v>74708.009999999995</v>
      </c>
      <c r="C66" s="152">
        <v>61406.05</v>
      </c>
    </row>
    <row r="67" spans="1:3" x14ac:dyDescent="0.25">
      <c r="A67" s="145" t="s">
        <v>116</v>
      </c>
      <c r="B67" s="152">
        <v>0</v>
      </c>
      <c r="C67" s="152">
        <v>0</v>
      </c>
    </row>
    <row r="68" spans="1:3" x14ac:dyDescent="0.25">
      <c r="A68" s="145" t="s">
        <v>448</v>
      </c>
      <c r="B68" s="152">
        <v>0</v>
      </c>
      <c r="C68" s="152">
        <v>294807</v>
      </c>
    </row>
    <row r="69" spans="1:3" x14ac:dyDescent="0.25">
      <c r="A69" s="147" t="s">
        <v>117</v>
      </c>
      <c r="B69" s="153">
        <v>74708.009999999995</v>
      </c>
      <c r="C69" s="153">
        <v>356213.05</v>
      </c>
    </row>
    <row r="70" spans="1:3" x14ac:dyDescent="0.25">
      <c r="A70" s="180" t="s">
        <v>32</v>
      </c>
      <c r="B70" s="180"/>
      <c r="C70" s="180"/>
    </row>
    <row r="71" spans="1:3" x14ac:dyDescent="0.25">
      <c r="A71" s="147" t="s">
        <v>118</v>
      </c>
      <c r="B71" s="145" t="s">
        <v>74</v>
      </c>
      <c r="C71" s="145" t="s">
        <v>74</v>
      </c>
    </row>
    <row r="72" spans="1:3" x14ac:dyDescent="0.25">
      <c r="A72" s="145" t="s">
        <v>119</v>
      </c>
      <c r="B72" s="152">
        <v>525.09</v>
      </c>
      <c r="C72" s="152">
        <v>388.35</v>
      </c>
    </row>
    <row r="73" spans="1:3" x14ac:dyDescent="0.25">
      <c r="A73" s="145" t="s">
        <v>120</v>
      </c>
      <c r="B73" s="152">
        <v>-5808.89</v>
      </c>
      <c r="C73" s="152">
        <v>-6962.36</v>
      </c>
    </row>
    <row r="74" spans="1:3" x14ac:dyDescent="0.25">
      <c r="A74" s="147" t="s">
        <v>121</v>
      </c>
      <c r="B74" s="153">
        <v>-5283.8</v>
      </c>
      <c r="C74" s="153">
        <v>-6574.01</v>
      </c>
    </row>
    <row r="75" spans="1:3" x14ac:dyDescent="0.25">
      <c r="A75" s="180" t="s">
        <v>32</v>
      </c>
      <c r="B75" s="180"/>
      <c r="C75" s="180"/>
    </row>
    <row r="76" spans="1:3" x14ac:dyDescent="0.25">
      <c r="A76" s="147" t="s">
        <v>122</v>
      </c>
      <c r="B76" s="145" t="s">
        <v>74</v>
      </c>
      <c r="C76" s="145" t="s">
        <v>74</v>
      </c>
    </row>
    <row r="77" spans="1:3" x14ac:dyDescent="0.25">
      <c r="A77" s="145" t="s">
        <v>123</v>
      </c>
      <c r="B77" s="152">
        <v>0</v>
      </c>
      <c r="C77" s="152">
        <v>0</v>
      </c>
    </row>
    <row r="78" spans="1:3" x14ac:dyDescent="0.25">
      <c r="A78" s="145" t="s">
        <v>124</v>
      </c>
      <c r="B78" s="152">
        <v>-3971.84</v>
      </c>
      <c r="C78" s="152">
        <v>-3959.86</v>
      </c>
    </row>
    <row r="79" spans="1:3" x14ac:dyDescent="0.25">
      <c r="A79" s="145" t="s">
        <v>472</v>
      </c>
      <c r="B79" s="152">
        <v>0</v>
      </c>
      <c r="C79" s="152">
        <v>0</v>
      </c>
    </row>
    <row r="80" spans="1:3" x14ac:dyDescent="0.25">
      <c r="A80" s="145" t="s">
        <v>449</v>
      </c>
      <c r="B80" s="152">
        <v>0</v>
      </c>
      <c r="C80" s="152">
        <v>0</v>
      </c>
    </row>
    <row r="81" spans="1:3" x14ac:dyDescent="0.25">
      <c r="A81" s="145" t="s">
        <v>125</v>
      </c>
      <c r="B81" s="152">
        <v>0</v>
      </c>
      <c r="C81" s="152">
        <v>0</v>
      </c>
    </row>
    <row r="82" spans="1:3" x14ac:dyDescent="0.25">
      <c r="A82" s="145" t="s">
        <v>126</v>
      </c>
      <c r="B82" s="152">
        <v>0</v>
      </c>
      <c r="C82" s="152">
        <v>0</v>
      </c>
    </row>
    <row r="83" spans="1:3" x14ac:dyDescent="0.25">
      <c r="A83" s="145" t="s">
        <v>127</v>
      </c>
      <c r="B83" s="152">
        <v>-30.08</v>
      </c>
      <c r="C83" s="152">
        <v>-18.579999999999998</v>
      </c>
    </row>
    <row r="84" spans="1:3" x14ac:dyDescent="0.25">
      <c r="A84" s="145" t="s">
        <v>128</v>
      </c>
      <c r="B84" s="152">
        <v>-1484.63</v>
      </c>
      <c r="C84" s="152">
        <v>-1044.8499999999999</v>
      </c>
    </row>
    <row r="85" spans="1:3" x14ac:dyDescent="0.25">
      <c r="A85" s="145" t="s">
        <v>129</v>
      </c>
      <c r="B85" s="152">
        <v>-361.82</v>
      </c>
      <c r="C85" s="152">
        <v>-400.48</v>
      </c>
    </row>
    <row r="86" spans="1:3" x14ac:dyDescent="0.25">
      <c r="A86" s="145" t="s">
        <v>130</v>
      </c>
      <c r="B86" s="152">
        <v>0</v>
      </c>
      <c r="C86" s="152">
        <v>0</v>
      </c>
    </row>
    <row r="87" spans="1:3" x14ac:dyDescent="0.25">
      <c r="A87" s="145" t="s">
        <v>131</v>
      </c>
      <c r="B87" s="152">
        <v>0</v>
      </c>
      <c r="C87" s="152">
        <v>0</v>
      </c>
    </row>
    <row r="88" spans="1:3" x14ac:dyDescent="0.25">
      <c r="A88" s="145" t="s">
        <v>132</v>
      </c>
      <c r="B88" s="152">
        <v>-1471.75</v>
      </c>
      <c r="C88" s="152">
        <v>-1163.8499999999999</v>
      </c>
    </row>
    <row r="89" spans="1:3" x14ac:dyDescent="0.25">
      <c r="A89" s="145" t="s">
        <v>476</v>
      </c>
      <c r="B89" s="152">
        <v>0</v>
      </c>
      <c r="C89" s="152">
        <v>0</v>
      </c>
    </row>
    <row r="90" spans="1:3" x14ac:dyDescent="0.25">
      <c r="A90" s="145" t="s">
        <v>133</v>
      </c>
      <c r="B90" s="152">
        <v>-675.19</v>
      </c>
      <c r="C90" s="152">
        <v>-678.5</v>
      </c>
    </row>
    <row r="91" spans="1:3" x14ac:dyDescent="0.25">
      <c r="A91" s="145" t="s">
        <v>134</v>
      </c>
      <c r="B91" s="152">
        <v>-387.44</v>
      </c>
      <c r="C91" s="152">
        <v>-311.83999999999997</v>
      </c>
    </row>
    <row r="92" spans="1:3" x14ac:dyDescent="0.25">
      <c r="A92" s="145" t="s">
        <v>135</v>
      </c>
      <c r="B92" s="152">
        <v>-12.24</v>
      </c>
      <c r="C92" s="152">
        <v>-12.24</v>
      </c>
    </row>
    <row r="93" spans="1:3" x14ac:dyDescent="0.25">
      <c r="A93" s="145" t="s">
        <v>136</v>
      </c>
      <c r="B93" s="152">
        <v>-349.77</v>
      </c>
      <c r="C93" s="152">
        <v>-304.88</v>
      </c>
    </row>
    <row r="94" spans="1:3" x14ac:dyDescent="0.25">
      <c r="A94" s="145" t="s">
        <v>137</v>
      </c>
      <c r="B94" s="152">
        <v>-300.42</v>
      </c>
      <c r="C94" s="152">
        <v>-335.07</v>
      </c>
    </row>
    <row r="95" spans="1:3" x14ac:dyDescent="0.25">
      <c r="A95" s="147" t="s">
        <v>138</v>
      </c>
      <c r="B95" s="153">
        <v>-9045.18</v>
      </c>
      <c r="C95" s="153">
        <v>-8230.15</v>
      </c>
    </row>
    <row r="96" spans="1:3" x14ac:dyDescent="0.25">
      <c r="A96" s="180" t="s">
        <v>32</v>
      </c>
      <c r="B96" s="180"/>
      <c r="C96" s="180"/>
    </row>
    <row r="97" spans="1:3" x14ac:dyDescent="0.25">
      <c r="A97" s="147" t="s">
        <v>139</v>
      </c>
      <c r="B97" s="145" t="s">
        <v>74</v>
      </c>
      <c r="C97" s="145" t="s">
        <v>74</v>
      </c>
    </row>
    <row r="98" spans="1:3" x14ac:dyDescent="0.25">
      <c r="A98" s="145" t="s">
        <v>467</v>
      </c>
      <c r="B98" s="152">
        <v>0</v>
      </c>
      <c r="C98" s="152">
        <v>0</v>
      </c>
    </row>
    <row r="99" spans="1:3" x14ac:dyDescent="0.25">
      <c r="A99" s="145" t="s">
        <v>140</v>
      </c>
      <c r="B99" s="152">
        <v>41585.300000000003</v>
      </c>
      <c r="C99" s="152">
        <v>27707.4</v>
      </c>
    </row>
    <row r="100" spans="1:3" x14ac:dyDescent="0.25">
      <c r="A100" s="145" t="s">
        <v>141</v>
      </c>
      <c r="B100" s="152">
        <v>0</v>
      </c>
      <c r="C100" s="152">
        <v>38229.61</v>
      </c>
    </row>
    <row r="101" spans="1:3" x14ac:dyDescent="0.25">
      <c r="A101" s="145" t="s">
        <v>450</v>
      </c>
      <c r="B101" s="152">
        <v>0</v>
      </c>
      <c r="C101" s="152">
        <v>806787</v>
      </c>
    </row>
    <row r="102" spans="1:3" x14ac:dyDescent="0.25">
      <c r="A102" s="147" t="s">
        <v>142</v>
      </c>
      <c r="B102" s="153">
        <v>41585.300000000003</v>
      </c>
      <c r="C102" s="153">
        <v>872724.01</v>
      </c>
    </row>
    <row r="103" spans="1:3" x14ac:dyDescent="0.25">
      <c r="A103" s="180" t="s">
        <v>32</v>
      </c>
      <c r="B103" s="180"/>
      <c r="C103" s="180"/>
    </row>
    <row r="104" spans="1:3" x14ac:dyDescent="0.25">
      <c r="A104" s="147" t="s">
        <v>143</v>
      </c>
      <c r="B104" s="145" t="s">
        <v>74</v>
      </c>
      <c r="C104" s="145" t="s">
        <v>74</v>
      </c>
    </row>
    <row r="105" spans="1:3" x14ac:dyDescent="0.25">
      <c r="A105" s="145" t="s">
        <v>144</v>
      </c>
      <c r="B105" s="152">
        <v>2360030.0499999998</v>
      </c>
      <c r="C105" s="152">
        <v>2360030.0499999998</v>
      </c>
    </row>
    <row r="106" spans="1:3" x14ac:dyDescent="0.25">
      <c r="A106" s="145" t="s">
        <v>145</v>
      </c>
      <c r="B106" s="152">
        <v>4055511.17</v>
      </c>
      <c r="C106" s="152">
        <v>4055511.17</v>
      </c>
    </row>
    <row r="107" spans="1:3" x14ac:dyDescent="0.25">
      <c r="A107" s="145" t="s">
        <v>146</v>
      </c>
      <c r="B107" s="152">
        <v>3384724.31</v>
      </c>
      <c r="C107" s="152">
        <v>3384724.31</v>
      </c>
    </row>
    <row r="108" spans="1:3" x14ac:dyDescent="0.25">
      <c r="A108" s="145" t="s">
        <v>147</v>
      </c>
      <c r="B108" s="152">
        <v>0</v>
      </c>
      <c r="C108" s="152">
        <v>0</v>
      </c>
    </row>
    <row r="109" spans="1:3" x14ac:dyDescent="0.25">
      <c r="A109" s="147" t="s">
        <v>148</v>
      </c>
      <c r="B109" s="153">
        <v>9800265.5299999993</v>
      </c>
      <c r="C109" s="153">
        <v>9800265.5299999993</v>
      </c>
    </row>
    <row r="110" spans="1:3" x14ac:dyDescent="0.25">
      <c r="A110" s="180" t="s">
        <v>32</v>
      </c>
      <c r="B110" s="180"/>
      <c r="C110" s="180"/>
    </row>
    <row r="111" spans="1:3" x14ac:dyDescent="0.25">
      <c r="A111" s="147" t="s">
        <v>149</v>
      </c>
      <c r="B111" s="145" t="s">
        <v>74</v>
      </c>
      <c r="C111" s="145" t="s">
        <v>74</v>
      </c>
    </row>
    <row r="112" spans="1:3" x14ac:dyDescent="0.25">
      <c r="A112" s="145" t="s">
        <v>456</v>
      </c>
      <c r="B112" s="152">
        <v>0</v>
      </c>
      <c r="C112" s="152">
        <v>0</v>
      </c>
    </row>
    <row r="113" spans="1:3" x14ac:dyDescent="0.25">
      <c r="A113" s="145" t="s">
        <v>477</v>
      </c>
      <c r="B113" s="152">
        <v>17661.650000000001</v>
      </c>
      <c r="C113" s="152">
        <v>0</v>
      </c>
    </row>
    <row r="114" spans="1:3" x14ac:dyDescent="0.25">
      <c r="A114" s="145" t="s">
        <v>150</v>
      </c>
      <c r="B114" s="152">
        <v>0</v>
      </c>
      <c r="C114" s="152">
        <v>0</v>
      </c>
    </row>
    <row r="115" spans="1:3" x14ac:dyDescent="0.25">
      <c r="A115" s="145" t="s">
        <v>151</v>
      </c>
      <c r="B115" s="152">
        <v>0</v>
      </c>
      <c r="C115" s="152">
        <v>0</v>
      </c>
    </row>
    <row r="116" spans="1:3" x14ac:dyDescent="0.25">
      <c r="A116" s="145" t="s">
        <v>152</v>
      </c>
      <c r="B116" s="152">
        <v>0</v>
      </c>
      <c r="C116" s="152">
        <v>0</v>
      </c>
    </row>
    <row r="117" spans="1:3" x14ac:dyDescent="0.25">
      <c r="A117" s="145" t="s">
        <v>153</v>
      </c>
      <c r="B117" s="152">
        <v>0</v>
      </c>
      <c r="C117" s="152">
        <v>193900</v>
      </c>
    </row>
    <row r="118" spans="1:3" x14ac:dyDescent="0.25">
      <c r="A118" s="145" t="s">
        <v>445</v>
      </c>
      <c r="B118" s="152">
        <v>178700</v>
      </c>
      <c r="C118" s="152">
        <v>2700</v>
      </c>
    </row>
    <row r="119" spans="1:3" x14ac:dyDescent="0.25">
      <c r="A119" s="145" t="s">
        <v>478</v>
      </c>
      <c r="B119" s="152">
        <v>1800</v>
      </c>
      <c r="C119" s="152">
        <v>0</v>
      </c>
    </row>
    <row r="120" spans="1:3" x14ac:dyDescent="0.25">
      <c r="A120" s="145" t="s">
        <v>154</v>
      </c>
      <c r="B120" s="152">
        <v>0</v>
      </c>
      <c r="C120" s="152">
        <v>0</v>
      </c>
    </row>
    <row r="121" spans="1:3" x14ac:dyDescent="0.25">
      <c r="A121" s="145" t="s">
        <v>155</v>
      </c>
      <c r="B121" s="152">
        <v>0</v>
      </c>
      <c r="C121" s="152">
        <v>0</v>
      </c>
    </row>
    <row r="122" spans="1:3" x14ac:dyDescent="0.25">
      <c r="A122" s="145" t="s">
        <v>156</v>
      </c>
      <c r="B122" s="152">
        <v>0</v>
      </c>
      <c r="C122" s="152">
        <v>0</v>
      </c>
    </row>
    <row r="123" spans="1:3" x14ac:dyDescent="0.25">
      <c r="A123" s="145" t="s">
        <v>157</v>
      </c>
      <c r="B123" s="152">
        <v>0</v>
      </c>
      <c r="C123" s="152">
        <v>0</v>
      </c>
    </row>
    <row r="124" spans="1:3" x14ac:dyDescent="0.25">
      <c r="A124" s="145" t="s">
        <v>158</v>
      </c>
      <c r="B124" s="152">
        <v>0</v>
      </c>
      <c r="C124" s="152">
        <v>0</v>
      </c>
    </row>
    <row r="125" spans="1:3" x14ac:dyDescent="0.25">
      <c r="A125" s="145" t="s">
        <v>159</v>
      </c>
      <c r="B125" s="152">
        <v>0</v>
      </c>
      <c r="C125" s="152">
        <v>0</v>
      </c>
    </row>
    <row r="126" spans="1:3" x14ac:dyDescent="0.25">
      <c r="A126" s="145" t="s">
        <v>160</v>
      </c>
      <c r="B126" s="152">
        <v>0</v>
      </c>
      <c r="C126" s="152">
        <v>0</v>
      </c>
    </row>
    <row r="127" spans="1:3" x14ac:dyDescent="0.25">
      <c r="A127" s="145" t="s">
        <v>161</v>
      </c>
      <c r="B127" s="152">
        <v>0</v>
      </c>
      <c r="C127" s="152">
        <v>0</v>
      </c>
    </row>
    <row r="128" spans="1:3" x14ac:dyDescent="0.25">
      <c r="A128" s="147" t="s">
        <v>162</v>
      </c>
      <c r="B128" s="153">
        <v>198161.65</v>
      </c>
      <c r="C128" s="153">
        <v>196600</v>
      </c>
    </row>
    <row r="129" spans="1:3" x14ac:dyDescent="0.25">
      <c r="A129" s="180" t="s">
        <v>32</v>
      </c>
      <c r="B129" s="180"/>
      <c r="C129" s="180"/>
    </row>
    <row r="130" spans="1:3" x14ac:dyDescent="0.25">
      <c r="A130" s="147" t="s">
        <v>163</v>
      </c>
      <c r="B130" s="155">
        <v>10458347.060000001</v>
      </c>
      <c r="C130" s="155">
        <v>11568953.98</v>
      </c>
    </row>
    <row r="131" spans="1:3" x14ac:dyDescent="0.25">
      <c r="A131" s="180" t="s">
        <v>32</v>
      </c>
      <c r="B131" s="180"/>
      <c r="C131" s="180"/>
    </row>
    <row r="132" spans="1:3" x14ac:dyDescent="0.25">
      <c r="A132" s="147" t="s">
        <v>164</v>
      </c>
      <c r="B132" s="156">
        <v>5946461.2599999998</v>
      </c>
      <c r="C132" s="156">
        <v>6621365.1699999999</v>
      </c>
    </row>
    <row r="133" spans="1:3" x14ac:dyDescent="0.25">
      <c r="A133" s="180" t="s">
        <v>32</v>
      </c>
      <c r="B133" s="180"/>
      <c r="C133" s="180"/>
    </row>
    <row r="134" spans="1:3" ht="15.75" thickBot="1" x14ac:dyDescent="0.3">
      <c r="A134" s="147" t="s">
        <v>165</v>
      </c>
      <c r="B134" s="157">
        <v>16404808.32</v>
      </c>
      <c r="C134" s="157">
        <v>18190319.149999999</v>
      </c>
    </row>
    <row r="135" spans="1:3" ht="15.75" thickTop="1" x14ac:dyDescent="0.25"/>
  </sheetData>
  <mergeCells count="16">
    <mergeCell ref="A12:C12"/>
    <mergeCell ref="A27:C27"/>
    <mergeCell ref="A34:C34"/>
    <mergeCell ref="A47:C47"/>
    <mergeCell ref="A56:C56"/>
    <mergeCell ref="A58:C58"/>
    <mergeCell ref="A60:C60"/>
    <mergeCell ref="A64:C64"/>
    <mergeCell ref="A129:C129"/>
    <mergeCell ref="A131:C131"/>
    <mergeCell ref="A133:C133"/>
    <mergeCell ref="A70:C70"/>
    <mergeCell ref="A75:C75"/>
    <mergeCell ref="A96:C96"/>
    <mergeCell ref="A103:C103"/>
    <mergeCell ref="A110:C110"/>
  </mergeCells>
  <pageMargins left="0.75" right="0.75" top="1" bottom="1" header="0.5" footer="0.5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DB4E2"/>
  </sheetPr>
  <dimension ref="A1:E44"/>
  <sheetViews>
    <sheetView view="pageBreakPreview" zoomScale="90" zoomScaleNormal="100" zoomScaleSheetLayoutView="90" workbookViewId="0">
      <selection activeCell="Y46" sqref="Y46"/>
    </sheetView>
  </sheetViews>
  <sheetFormatPr defaultColWidth="9.140625" defaultRowHeight="12.75" x14ac:dyDescent="0.2"/>
  <cols>
    <col min="1" max="1" width="39" style="115" customWidth="1"/>
    <col min="2" max="2" width="22.42578125" style="115" customWidth="1"/>
    <col min="3" max="3" width="17.140625" style="115" customWidth="1"/>
    <col min="4" max="4" width="13.85546875" style="115" bestFit="1" customWidth="1"/>
    <col min="5" max="16384" width="9.140625" style="115"/>
  </cols>
  <sheetData>
    <row r="1" spans="1:5" ht="18" x14ac:dyDescent="0.25">
      <c r="A1" s="143" t="s">
        <v>62</v>
      </c>
      <c r="B1"/>
      <c r="C1"/>
    </row>
    <row r="2" spans="1:5" ht="18" x14ac:dyDescent="0.25">
      <c r="A2" s="143" t="s">
        <v>63</v>
      </c>
      <c r="B2"/>
      <c r="C2"/>
    </row>
    <row r="3" spans="1:5" ht="18" x14ac:dyDescent="0.25">
      <c r="A3" s="144" t="s">
        <v>488</v>
      </c>
      <c r="B3"/>
      <c r="C3"/>
    </row>
    <row r="4" spans="1:5" ht="15" x14ac:dyDescent="0.25">
      <c r="A4" s="145" t="s">
        <v>64</v>
      </c>
      <c r="B4" s="145" t="s">
        <v>65</v>
      </c>
      <c r="C4"/>
    </row>
    <row r="5" spans="1:5" ht="15" x14ac:dyDescent="0.25">
      <c r="A5" s="145" t="s">
        <v>66</v>
      </c>
      <c r="B5" s="145" t="s">
        <v>484</v>
      </c>
      <c r="C5"/>
    </row>
    <row r="6" spans="1:5" ht="15" x14ac:dyDescent="0.25">
      <c r="A6" s="145" t="s">
        <v>67</v>
      </c>
      <c r="B6" s="145" t="s">
        <v>68</v>
      </c>
      <c r="C6"/>
    </row>
    <row r="7" spans="1:5" ht="15" x14ac:dyDescent="0.25">
      <c r="A7" s="146" t="s">
        <v>32</v>
      </c>
      <c r="B7"/>
      <c r="C7"/>
    </row>
    <row r="8" spans="1:5" x14ac:dyDescent="0.2">
      <c r="A8" s="145" t="s">
        <v>32</v>
      </c>
      <c r="B8" s="158" t="s">
        <v>69</v>
      </c>
      <c r="C8" s="158" t="s">
        <v>70</v>
      </c>
    </row>
    <row r="9" spans="1:5" x14ac:dyDescent="0.2">
      <c r="A9" s="145" t="s">
        <v>32</v>
      </c>
      <c r="B9" s="159" t="s">
        <v>484</v>
      </c>
      <c r="C9" s="159" t="s">
        <v>485</v>
      </c>
    </row>
    <row r="10" spans="1:5" x14ac:dyDescent="0.2">
      <c r="A10" s="160" t="s">
        <v>32</v>
      </c>
      <c r="B10" s="161" t="s">
        <v>32</v>
      </c>
      <c r="C10" s="161" t="s">
        <v>32</v>
      </c>
    </row>
    <row r="11" spans="1:5" x14ac:dyDescent="0.2">
      <c r="A11" s="147" t="s">
        <v>71</v>
      </c>
      <c r="B11" s="147" t="s">
        <v>72</v>
      </c>
      <c r="C11" s="147" t="s">
        <v>72</v>
      </c>
    </row>
    <row r="12" spans="1:5" x14ac:dyDescent="0.2">
      <c r="A12" s="180" t="s">
        <v>32</v>
      </c>
      <c r="B12" s="180"/>
      <c r="C12" s="180"/>
    </row>
    <row r="13" spans="1:5" x14ac:dyDescent="0.2">
      <c r="A13" s="145" t="s">
        <v>73</v>
      </c>
      <c r="B13" s="162">
        <v>2135646</v>
      </c>
      <c r="C13" s="162">
        <v>2767558</v>
      </c>
      <c r="D13" s="129"/>
    </row>
    <row r="14" spans="1:5" x14ac:dyDescent="0.2">
      <c r="A14" s="180" t="s">
        <v>32</v>
      </c>
      <c r="B14" s="180"/>
      <c r="C14" s="180"/>
    </row>
    <row r="15" spans="1:5" x14ac:dyDescent="0.2">
      <c r="A15" s="145" t="s">
        <v>84</v>
      </c>
      <c r="B15" s="162">
        <v>43176</v>
      </c>
      <c r="C15" s="162">
        <v>38521</v>
      </c>
    </row>
    <row r="16" spans="1:5" x14ac:dyDescent="0.2">
      <c r="A16" s="180" t="s">
        <v>32</v>
      </c>
      <c r="B16" s="180"/>
      <c r="C16" s="180"/>
      <c r="E16" s="130"/>
    </row>
    <row r="17" spans="1:5" x14ac:dyDescent="0.2">
      <c r="A17" s="145" t="s">
        <v>90</v>
      </c>
      <c r="B17" s="162">
        <v>209033</v>
      </c>
      <c r="C17" s="162">
        <v>137503</v>
      </c>
      <c r="D17" s="113">
        <f>+'SOFP - Intacct Full'!B38+'SOFP - Intacct Full'!B39+'SOFP - Intacct Full'!B42</f>
        <v>2212.0700000000002</v>
      </c>
      <c r="E17" s="130" t="s">
        <v>166</v>
      </c>
    </row>
    <row r="18" spans="1:5" x14ac:dyDescent="0.2">
      <c r="A18" s="180" t="s">
        <v>32</v>
      </c>
      <c r="B18" s="180"/>
      <c r="C18" s="180"/>
    </row>
    <row r="19" spans="1:5" x14ac:dyDescent="0.2">
      <c r="A19" s="145" t="s">
        <v>101</v>
      </c>
      <c r="B19" s="162">
        <v>14016953</v>
      </c>
      <c r="C19" s="162">
        <v>15118547</v>
      </c>
    </row>
    <row r="20" spans="1:5" x14ac:dyDescent="0.2">
      <c r="A20" s="180" t="s">
        <v>32</v>
      </c>
      <c r="B20" s="180"/>
      <c r="C20" s="180"/>
    </row>
    <row r="21" spans="1:5" ht="13.5" thickBot="1" x14ac:dyDescent="0.25">
      <c r="A21" s="147" t="s">
        <v>109</v>
      </c>
      <c r="B21" s="163">
        <v>16404808</v>
      </c>
      <c r="C21" s="163">
        <v>18062129</v>
      </c>
    </row>
    <row r="22" spans="1:5" ht="13.5" thickTop="1" x14ac:dyDescent="0.2">
      <c r="A22" s="180" t="s">
        <v>32</v>
      </c>
      <c r="B22" s="180"/>
      <c r="C22" s="180"/>
    </row>
    <row r="23" spans="1:5" x14ac:dyDescent="0.2">
      <c r="A23" s="147" t="s">
        <v>110</v>
      </c>
      <c r="B23" s="147" t="s">
        <v>72</v>
      </c>
      <c r="C23" s="147" t="s">
        <v>72</v>
      </c>
    </row>
    <row r="24" spans="1:5" x14ac:dyDescent="0.2">
      <c r="A24" s="180" t="s">
        <v>32</v>
      </c>
      <c r="B24" s="180"/>
      <c r="C24" s="180"/>
    </row>
    <row r="25" spans="1:5" x14ac:dyDescent="0.2">
      <c r="A25" s="145" t="s">
        <v>111</v>
      </c>
      <c r="B25" s="162">
        <v>357956</v>
      </c>
      <c r="C25" s="162">
        <v>357956</v>
      </c>
    </row>
    <row r="26" spans="1:5" x14ac:dyDescent="0.2">
      <c r="A26" s="180" t="s">
        <v>32</v>
      </c>
      <c r="B26" s="180"/>
      <c r="C26" s="180"/>
    </row>
    <row r="27" spans="1:5" x14ac:dyDescent="0.2">
      <c r="A27" s="145" t="s">
        <v>114</v>
      </c>
      <c r="B27" s="162">
        <v>74708</v>
      </c>
      <c r="C27" s="162">
        <v>356213</v>
      </c>
    </row>
    <row r="28" spans="1:5" x14ac:dyDescent="0.2">
      <c r="A28" s="180" t="s">
        <v>32</v>
      </c>
      <c r="B28" s="180"/>
      <c r="C28" s="180"/>
    </row>
    <row r="29" spans="1:5" x14ac:dyDescent="0.2">
      <c r="A29" s="145" t="s">
        <v>118</v>
      </c>
      <c r="B29" s="162">
        <v>-5284</v>
      </c>
      <c r="C29" s="162">
        <v>-6574</v>
      </c>
    </row>
    <row r="30" spans="1:5" x14ac:dyDescent="0.2">
      <c r="A30" s="180" t="s">
        <v>32</v>
      </c>
      <c r="B30" s="180"/>
      <c r="C30" s="180"/>
    </row>
    <row r="31" spans="1:5" x14ac:dyDescent="0.2">
      <c r="A31" s="145" t="s">
        <v>122</v>
      </c>
      <c r="B31" s="162">
        <v>-9045</v>
      </c>
      <c r="C31" s="162">
        <v>-8231</v>
      </c>
    </row>
    <row r="32" spans="1:5" x14ac:dyDescent="0.2">
      <c r="A32" s="180" t="s">
        <v>32</v>
      </c>
      <c r="B32" s="180"/>
      <c r="C32" s="180"/>
    </row>
    <row r="33" spans="1:3" x14ac:dyDescent="0.2">
      <c r="A33" s="145" t="s">
        <v>139</v>
      </c>
      <c r="B33" s="162">
        <v>41585</v>
      </c>
      <c r="C33" s="162">
        <v>872724</v>
      </c>
    </row>
    <row r="34" spans="1:3" x14ac:dyDescent="0.2">
      <c r="A34" s="180" t="s">
        <v>32</v>
      </c>
      <c r="B34" s="180"/>
      <c r="C34" s="180"/>
    </row>
    <row r="35" spans="1:3" x14ac:dyDescent="0.2">
      <c r="A35" s="145" t="s">
        <v>143</v>
      </c>
      <c r="B35" s="162">
        <v>9800265</v>
      </c>
      <c r="C35" s="162">
        <v>9800266</v>
      </c>
    </row>
    <row r="36" spans="1:3" x14ac:dyDescent="0.2">
      <c r="A36" s="180" t="s">
        <v>32</v>
      </c>
      <c r="B36" s="180"/>
      <c r="C36" s="180"/>
    </row>
    <row r="37" spans="1:3" x14ac:dyDescent="0.2">
      <c r="A37" s="145" t="s">
        <v>149</v>
      </c>
      <c r="B37" s="162">
        <v>198162</v>
      </c>
      <c r="C37" s="162">
        <v>196600</v>
      </c>
    </row>
    <row r="38" spans="1:3" x14ac:dyDescent="0.2">
      <c r="A38" s="180" t="s">
        <v>32</v>
      </c>
      <c r="B38" s="180"/>
      <c r="C38" s="180"/>
    </row>
    <row r="39" spans="1:3" x14ac:dyDescent="0.2">
      <c r="A39" s="147" t="s">
        <v>163</v>
      </c>
      <c r="B39" s="164">
        <v>10458347</v>
      </c>
      <c r="C39" s="164">
        <v>11568954</v>
      </c>
    </row>
    <row r="40" spans="1:3" x14ac:dyDescent="0.2">
      <c r="A40" s="180" t="s">
        <v>32</v>
      </c>
      <c r="B40" s="180"/>
      <c r="C40" s="180"/>
    </row>
    <row r="41" spans="1:3" x14ac:dyDescent="0.2">
      <c r="A41" s="147" t="s">
        <v>164</v>
      </c>
      <c r="B41" s="165">
        <v>5946461</v>
      </c>
      <c r="C41" s="165">
        <v>6621365</v>
      </c>
    </row>
    <row r="42" spans="1:3" x14ac:dyDescent="0.2">
      <c r="A42" s="180" t="s">
        <v>32</v>
      </c>
      <c r="B42" s="180"/>
      <c r="C42" s="180"/>
    </row>
    <row r="43" spans="1:3" ht="13.5" thickBot="1" x14ac:dyDescent="0.25">
      <c r="A43" s="147" t="s">
        <v>165</v>
      </c>
      <c r="B43" s="166">
        <v>16404808</v>
      </c>
      <c r="C43" s="166">
        <v>18190319</v>
      </c>
    </row>
    <row r="44" spans="1:3" ht="13.5" thickTop="1" x14ac:dyDescent="0.2"/>
  </sheetData>
  <mergeCells count="16">
    <mergeCell ref="A42:C42"/>
    <mergeCell ref="A22:C22"/>
    <mergeCell ref="A24:C24"/>
    <mergeCell ref="A26:C26"/>
    <mergeCell ref="A28:C28"/>
    <mergeCell ref="A30:C30"/>
    <mergeCell ref="A40:C40"/>
    <mergeCell ref="A34:C34"/>
    <mergeCell ref="A36:C36"/>
    <mergeCell ref="A38:C38"/>
    <mergeCell ref="A32:C32"/>
    <mergeCell ref="A12:C12"/>
    <mergeCell ref="A14:C14"/>
    <mergeCell ref="A16:C16"/>
    <mergeCell ref="A18:C18"/>
    <mergeCell ref="A20:C20"/>
  </mergeCells>
  <pageMargins left="0.75" right="0.75" top="1" bottom="1" header="0.5" footer="0.5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DB4E2"/>
  </sheetPr>
  <dimension ref="A1:D166"/>
  <sheetViews>
    <sheetView view="pageBreakPreview" zoomScale="90" zoomScaleNormal="100" zoomScaleSheetLayoutView="90" workbookViewId="0">
      <pane xSplit="1" ySplit="9" topLeftCell="B136" activePane="bottomRight" state="frozen"/>
      <selection activeCell="Y46" sqref="Y46"/>
      <selection pane="topRight" activeCell="Y46" sqref="Y46"/>
      <selection pane="bottomLeft" activeCell="Y46" sqref="Y46"/>
      <selection pane="bottomRight" activeCell="Y46" sqref="Y46"/>
    </sheetView>
  </sheetViews>
  <sheetFormatPr defaultColWidth="9.140625" defaultRowHeight="12.75" x14ac:dyDescent="0.2"/>
  <cols>
    <col min="1" max="1" width="56.140625" style="115" customWidth="1"/>
    <col min="2" max="2" width="15" style="115" customWidth="1"/>
    <col min="3" max="3" width="29.42578125" style="115" customWidth="1"/>
    <col min="4" max="4" width="24.140625" style="115" customWidth="1"/>
    <col min="5" max="16384" width="9.140625" style="115"/>
  </cols>
  <sheetData>
    <row r="1" spans="1:4" customFormat="1" ht="18" x14ac:dyDescent="0.25">
      <c r="A1" s="30" t="s">
        <v>62</v>
      </c>
      <c r="B1" s="29"/>
      <c r="C1" s="29"/>
      <c r="D1" s="29"/>
    </row>
    <row r="2" spans="1:4" customFormat="1" ht="18" x14ac:dyDescent="0.25">
      <c r="A2" s="30" t="s">
        <v>167</v>
      </c>
      <c r="B2" s="29"/>
      <c r="C2" s="29"/>
      <c r="D2" s="29"/>
    </row>
    <row r="3" spans="1:4" customFormat="1" ht="18" x14ac:dyDescent="0.25">
      <c r="A3" s="31" t="s">
        <v>483</v>
      </c>
      <c r="B3" s="29"/>
      <c r="C3" s="29"/>
      <c r="D3" s="29"/>
    </row>
    <row r="4" spans="1:4" customFormat="1" ht="15" x14ac:dyDescent="0.25">
      <c r="A4" s="124" t="s">
        <v>64</v>
      </c>
      <c r="B4" s="124" t="s">
        <v>65</v>
      </c>
      <c r="C4" s="29"/>
      <c r="D4" s="29"/>
    </row>
    <row r="5" spans="1:4" customFormat="1" ht="15" x14ac:dyDescent="0.25">
      <c r="A5" s="124" t="s">
        <v>66</v>
      </c>
      <c r="B5" s="124" t="s">
        <v>484</v>
      </c>
      <c r="C5" s="29"/>
      <c r="D5" s="29"/>
    </row>
    <row r="6" spans="1:4" customFormat="1" ht="15" x14ac:dyDescent="0.25">
      <c r="A6" s="124" t="s">
        <v>67</v>
      </c>
      <c r="B6" s="124" t="s">
        <v>68</v>
      </c>
      <c r="C6" s="29"/>
      <c r="D6" s="29"/>
    </row>
    <row r="7" spans="1:4" customFormat="1" ht="15" x14ac:dyDescent="0.25">
      <c r="A7" s="114" t="s">
        <v>32</v>
      </c>
      <c r="B7" s="29"/>
      <c r="C7" s="29"/>
      <c r="D7" s="29"/>
    </row>
    <row r="8" spans="1:4" customFormat="1" ht="15" x14ac:dyDescent="0.25">
      <c r="A8" s="28" t="s">
        <v>32</v>
      </c>
      <c r="B8" s="139" t="s">
        <v>168</v>
      </c>
      <c r="C8" s="139" t="s">
        <v>169</v>
      </c>
      <c r="D8" s="139" t="s">
        <v>170</v>
      </c>
    </row>
    <row r="9" spans="1:4" customFormat="1" ht="15" x14ac:dyDescent="0.25">
      <c r="A9" s="28" t="s">
        <v>32</v>
      </c>
      <c r="B9" s="140" t="s">
        <v>171</v>
      </c>
      <c r="C9" s="140" t="s">
        <v>485</v>
      </c>
      <c r="D9" s="140" t="s">
        <v>484</v>
      </c>
    </row>
    <row r="10" spans="1:4" customFormat="1" ht="15" x14ac:dyDescent="0.25">
      <c r="A10" s="141" t="s">
        <v>32</v>
      </c>
      <c r="B10" s="142" t="s">
        <v>32</v>
      </c>
      <c r="C10" s="142" t="s">
        <v>32</v>
      </c>
      <c r="D10" s="142" t="s">
        <v>32</v>
      </c>
    </row>
    <row r="11" spans="1:4" customFormat="1" ht="15" x14ac:dyDescent="0.25">
      <c r="A11" s="28" t="s">
        <v>172</v>
      </c>
      <c r="B11" s="28" t="s">
        <v>72</v>
      </c>
      <c r="C11" s="28" t="s">
        <v>72</v>
      </c>
      <c r="D11" s="28" t="s">
        <v>72</v>
      </c>
    </row>
    <row r="12" spans="1:4" customFormat="1" ht="15" x14ac:dyDescent="0.25">
      <c r="A12" s="181" t="s">
        <v>32</v>
      </c>
      <c r="B12" s="181"/>
      <c r="C12" s="181"/>
      <c r="D12" s="181"/>
    </row>
    <row r="13" spans="1:4" customFormat="1" ht="15" x14ac:dyDescent="0.25">
      <c r="A13" s="28" t="s">
        <v>463</v>
      </c>
      <c r="B13" s="124" t="s">
        <v>74</v>
      </c>
      <c r="C13" s="124" t="s">
        <v>74</v>
      </c>
      <c r="D13" s="124" t="s">
        <v>74</v>
      </c>
    </row>
    <row r="14" spans="1:4" customFormat="1" ht="15" x14ac:dyDescent="0.25">
      <c r="A14" s="124" t="s">
        <v>464</v>
      </c>
      <c r="B14" s="131">
        <v>0</v>
      </c>
      <c r="C14" s="131">
        <v>11417</v>
      </c>
      <c r="D14" s="131">
        <v>-11417</v>
      </c>
    </row>
    <row r="15" spans="1:4" customFormat="1" ht="15" x14ac:dyDescent="0.25">
      <c r="A15" s="124" t="s">
        <v>473</v>
      </c>
      <c r="B15" s="131">
        <v>43795</v>
      </c>
      <c r="C15" s="131">
        <v>0</v>
      </c>
      <c r="D15" s="131">
        <v>43795</v>
      </c>
    </row>
    <row r="16" spans="1:4" customFormat="1" ht="15" x14ac:dyDescent="0.25">
      <c r="A16" s="28" t="s">
        <v>465</v>
      </c>
      <c r="B16" s="116">
        <v>43795</v>
      </c>
      <c r="C16" s="116">
        <v>11417</v>
      </c>
      <c r="D16" s="116">
        <v>32378</v>
      </c>
    </row>
    <row r="17" spans="1:4" customFormat="1" ht="15" x14ac:dyDescent="0.25">
      <c r="A17" s="181" t="s">
        <v>32</v>
      </c>
      <c r="B17" s="181"/>
      <c r="C17" s="181"/>
      <c r="D17" s="181"/>
    </row>
    <row r="18" spans="1:4" customFormat="1" ht="15" x14ac:dyDescent="0.25">
      <c r="A18" s="28" t="s">
        <v>173</v>
      </c>
      <c r="B18" s="124" t="s">
        <v>74</v>
      </c>
      <c r="C18" s="124" t="s">
        <v>74</v>
      </c>
      <c r="D18" s="124" t="s">
        <v>74</v>
      </c>
    </row>
    <row r="19" spans="1:4" customFormat="1" ht="15" x14ac:dyDescent="0.25">
      <c r="A19" s="124" t="s">
        <v>174</v>
      </c>
      <c r="B19" s="131">
        <v>7371592</v>
      </c>
      <c r="C19" s="131">
        <v>7295010</v>
      </c>
      <c r="D19" s="131">
        <v>76582</v>
      </c>
    </row>
    <row r="20" spans="1:4" customFormat="1" ht="15" x14ac:dyDescent="0.25">
      <c r="A20" s="124" t="s">
        <v>468</v>
      </c>
      <c r="B20" s="131">
        <v>76503</v>
      </c>
      <c r="C20" s="131">
        <v>125028</v>
      </c>
      <c r="D20" s="131">
        <v>-48525</v>
      </c>
    </row>
    <row r="21" spans="1:4" customFormat="1" ht="15" x14ac:dyDescent="0.25">
      <c r="A21" s="124" t="s">
        <v>175</v>
      </c>
      <c r="B21" s="131">
        <v>900</v>
      </c>
      <c r="C21" s="131">
        <v>1034</v>
      </c>
      <c r="D21" s="131">
        <v>-134</v>
      </c>
    </row>
    <row r="22" spans="1:4" customFormat="1" ht="15" x14ac:dyDescent="0.25">
      <c r="A22" s="124" t="s">
        <v>457</v>
      </c>
      <c r="B22" s="131">
        <v>607624</v>
      </c>
      <c r="C22" s="131">
        <v>678273</v>
      </c>
      <c r="D22" s="131">
        <v>-70649</v>
      </c>
    </row>
    <row r="23" spans="1:4" customFormat="1" ht="15" x14ac:dyDescent="0.25">
      <c r="A23" s="28" t="s">
        <v>173</v>
      </c>
      <c r="B23" s="116">
        <v>8056619</v>
      </c>
      <c r="C23" s="116">
        <v>8099345</v>
      </c>
      <c r="D23" s="116">
        <v>-42726</v>
      </c>
    </row>
    <row r="24" spans="1:4" customFormat="1" ht="15" x14ac:dyDescent="0.25">
      <c r="A24" s="181" t="s">
        <v>32</v>
      </c>
      <c r="B24" s="181"/>
      <c r="C24" s="181"/>
      <c r="D24" s="181"/>
    </row>
    <row r="25" spans="1:4" customFormat="1" ht="15" x14ac:dyDescent="0.25">
      <c r="A25" s="28" t="s">
        <v>176</v>
      </c>
      <c r="B25" s="124" t="s">
        <v>74</v>
      </c>
      <c r="C25" s="124" t="s">
        <v>74</v>
      </c>
      <c r="D25" s="124" t="s">
        <v>74</v>
      </c>
    </row>
    <row r="26" spans="1:4" customFormat="1" ht="15" x14ac:dyDescent="0.25">
      <c r="A26" s="28" t="s">
        <v>458</v>
      </c>
      <c r="B26" s="124" t="s">
        <v>178</v>
      </c>
      <c r="C26" s="124" t="s">
        <v>178</v>
      </c>
      <c r="D26" s="124" t="s">
        <v>178</v>
      </c>
    </row>
    <row r="27" spans="1:4" customFormat="1" ht="15" x14ac:dyDescent="0.25">
      <c r="A27" s="124" t="s">
        <v>489</v>
      </c>
      <c r="B27" s="131">
        <v>182378</v>
      </c>
      <c r="C27" s="131">
        <v>0</v>
      </c>
      <c r="D27" s="131">
        <v>182378</v>
      </c>
    </row>
    <row r="28" spans="1:4" customFormat="1" ht="15" x14ac:dyDescent="0.25">
      <c r="A28" s="124" t="s">
        <v>459</v>
      </c>
      <c r="B28" s="131">
        <v>809805</v>
      </c>
      <c r="C28" s="131">
        <v>0</v>
      </c>
      <c r="D28" s="131">
        <v>809805</v>
      </c>
    </row>
    <row r="29" spans="1:4" customFormat="1" ht="15" x14ac:dyDescent="0.25">
      <c r="A29" s="28" t="s">
        <v>460</v>
      </c>
      <c r="B29" s="116">
        <v>992183</v>
      </c>
      <c r="C29" s="116">
        <v>0</v>
      </c>
      <c r="D29" s="116">
        <v>992183</v>
      </c>
    </row>
    <row r="30" spans="1:4" customFormat="1" ht="15" x14ac:dyDescent="0.25">
      <c r="A30" s="181" t="s">
        <v>32</v>
      </c>
      <c r="B30" s="181"/>
      <c r="C30" s="181"/>
      <c r="D30" s="181"/>
    </row>
    <row r="31" spans="1:4" customFormat="1" ht="15" x14ac:dyDescent="0.25">
      <c r="A31" s="28" t="s">
        <v>177</v>
      </c>
      <c r="B31" s="124" t="s">
        <v>178</v>
      </c>
      <c r="C31" s="124" t="s">
        <v>178</v>
      </c>
      <c r="D31" s="124" t="s">
        <v>178</v>
      </c>
    </row>
    <row r="32" spans="1:4" customFormat="1" ht="15" x14ac:dyDescent="0.25">
      <c r="A32" s="124" t="s">
        <v>179</v>
      </c>
      <c r="B32" s="131">
        <v>133938</v>
      </c>
      <c r="C32" s="131">
        <v>107776</v>
      </c>
      <c r="D32" s="131">
        <v>26162</v>
      </c>
    </row>
    <row r="33" spans="1:4" customFormat="1" ht="15" x14ac:dyDescent="0.25">
      <c r="A33" s="28" t="s">
        <v>180</v>
      </c>
      <c r="B33" s="116">
        <v>133938</v>
      </c>
      <c r="C33" s="116">
        <v>107776</v>
      </c>
      <c r="D33" s="116">
        <v>26162</v>
      </c>
    </row>
    <row r="34" spans="1:4" customFormat="1" ht="15" x14ac:dyDescent="0.25">
      <c r="A34" s="181" t="s">
        <v>32</v>
      </c>
      <c r="B34" s="181"/>
      <c r="C34" s="181"/>
      <c r="D34" s="181"/>
    </row>
    <row r="35" spans="1:4" customFormat="1" ht="15" x14ac:dyDescent="0.25">
      <c r="A35" s="28" t="s">
        <v>181</v>
      </c>
      <c r="B35" s="124" t="s">
        <v>178</v>
      </c>
      <c r="C35" s="124" t="s">
        <v>178</v>
      </c>
      <c r="D35" s="124" t="s">
        <v>178</v>
      </c>
    </row>
    <row r="36" spans="1:4" customFormat="1" ht="15" x14ac:dyDescent="0.25">
      <c r="A36" s="124" t="s">
        <v>182</v>
      </c>
      <c r="B36" s="131">
        <v>3196919</v>
      </c>
      <c r="C36" s="131">
        <v>2922091</v>
      </c>
      <c r="D36" s="131">
        <v>274828</v>
      </c>
    </row>
    <row r="37" spans="1:4" customFormat="1" ht="15" x14ac:dyDescent="0.25">
      <c r="A37" s="124" t="s">
        <v>461</v>
      </c>
      <c r="B37" s="131">
        <v>0</v>
      </c>
      <c r="C37" s="131">
        <v>-2720</v>
      </c>
      <c r="D37" s="131">
        <v>2721</v>
      </c>
    </row>
    <row r="38" spans="1:4" customFormat="1" ht="15" x14ac:dyDescent="0.25">
      <c r="A38" s="124" t="s">
        <v>183</v>
      </c>
      <c r="B38" s="131">
        <v>-148560</v>
      </c>
      <c r="C38" s="131">
        <v>-223429</v>
      </c>
      <c r="D38" s="131">
        <v>74868</v>
      </c>
    </row>
    <row r="39" spans="1:4" customFormat="1" ht="15" x14ac:dyDescent="0.25">
      <c r="A39" s="124" t="s">
        <v>184</v>
      </c>
      <c r="B39" s="131">
        <v>696019</v>
      </c>
      <c r="C39" s="131">
        <v>644210</v>
      </c>
      <c r="D39" s="131">
        <v>51809</v>
      </c>
    </row>
    <row r="40" spans="1:4" customFormat="1" ht="15" x14ac:dyDescent="0.25">
      <c r="A40" s="124" t="s">
        <v>185</v>
      </c>
      <c r="B40" s="131">
        <v>0</v>
      </c>
      <c r="C40" s="131">
        <v>-12</v>
      </c>
      <c r="D40" s="131">
        <v>13</v>
      </c>
    </row>
    <row r="41" spans="1:4" customFormat="1" ht="15" x14ac:dyDescent="0.25">
      <c r="A41" s="124" t="s">
        <v>186</v>
      </c>
      <c r="B41" s="131">
        <v>-21870</v>
      </c>
      <c r="C41" s="131">
        <v>-23938</v>
      </c>
      <c r="D41" s="131">
        <v>2067</v>
      </c>
    </row>
    <row r="42" spans="1:4" customFormat="1" ht="15" x14ac:dyDescent="0.25">
      <c r="A42" s="124" t="s">
        <v>187</v>
      </c>
      <c r="B42" s="131">
        <v>-18646</v>
      </c>
      <c r="C42" s="131">
        <v>-16546</v>
      </c>
      <c r="D42" s="131">
        <v>-2100</v>
      </c>
    </row>
    <row r="43" spans="1:4" customFormat="1" ht="15" x14ac:dyDescent="0.25">
      <c r="A43" s="124" t="s">
        <v>188</v>
      </c>
      <c r="B43" s="131">
        <v>-52740</v>
      </c>
      <c r="C43" s="131">
        <v>-52927</v>
      </c>
      <c r="D43" s="131">
        <v>187</v>
      </c>
    </row>
    <row r="44" spans="1:4" customFormat="1" ht="15" x14ac:dyDescent="0.25">
      <c r="A44" s="124" t="s">
        <v>189</v>
      </c>
      <c r="B44" s="131">
        <v>-152565</v>
      </c>
      <c r="C44" s="131">
        <v>-20616</v>
      </c>
      <c r="D44" s="131">
        <v>-131949</v>
      </c>
    </row>
    <row r="45" spans="1:4" customFormat="1" ht="15" x14ac:dyDescent="0.25">
      <c r="A45" s="124" t="s">
        <v>190</v>
      </c>
      <c r="B45" s="131">
        <v>94323</v>
      </c>
      <c r="C45" s="131">
        <v>93299</v>
      </c>
      <c r="D45" s="131">
        <v>1023</v>
      </c>
    </row>
    <row r="46" spans="1:4" customFormat="1" ht="15" x14ac:dyDescent="0.25">
      <c r="A46" s="124" t="s">
        <v>191</v>
      </c>
      <c r="B46" s="131">
        <v>4862212</v>
      </c>
      <c r="C46" s="131">
        <v>330567</v>
      </c>
      <c r="D46" s="131">
        <v>4531646</v>
      </c>
    </row>
    <row r="47" spans="1:4" customFormat="1" ht="15" x14ac:dyDescent="0.25">
      <c r="A47" s="28" t="s">
        <v>192</v>
      </c>
      <c r="B47" s="116">
        <v>8455092</v>
      </c>
      <c r="C47" s="116">
        <v>3649979</v>
      </c>
      <c r="D47" s="116">
        <v>4805113</v>
      </c>
    </row>
    <row r="48" spans="1:4" customFormat="1" ht="15" x14ac:dyDescent="0.25">
      <c r="A48" s="28" t="s">
        <v>193</v>
      </c>
      <c r="B48" s="116">
        <v>9581213</v>
      </c>
      <c r="C48" s="116">
        <v>3757755</v>
      </c>
      <c r="D48" s="116">
        <v>5823458</v>
      </c>
    </row>
    <row r="49" spans="1:4" customFormat="1" ht="15" x14ac:dyDescent="0.25">
      <c r="A49" s="181" t="s">
        <v>32</v>
      </c>
      <c r="B49" s="181"/>
      <c r="C49" s="181"/>
      <c r="D49" s="181"/>
    </row>
    <row r="50" spans="1:4" customFormat="1" ht="15" x14ac:dyDescent="0.25">
      <c r="A50" s="28" t="s">
        <v>194</v>
      </c>
      <c r="B50" s="124" t="s">
        <v>74</v>
      </c>
      <c r="C50" s="124" t="s">
        <v>74</v>
      </c>
      <c r="D50" s="124" t="s">
        <v>74</v>
      </c>
    </row>
    <row r="51" spans="1:4" customFormat="1" ht="15" x14ac:dyDescent="0.25">
      <c r="A51" s="124" t="s">
        <v>195</v>
      </c>
      <c r="B51" s="131">
        <v>16598</v>
      </c>
      <c r="C51" s="131">
        <v>17547</v>
      </c>
      <c r="D51" s="131">
        <v>-949</v>
      </c>
    </row>
    <row r="52" spans="1:4" customFormat="1" ht="15" x14ac:dyDescent="0.25">
      <c r="A52" s="28" t="s">
        <v>196</v>
      </c>
      <c r="B52" s="116">
        <v>16598</v>
      </c>
      <c r="C52" s="116">
        <v>17547</v>
      </c>
      <c r="D52" s="116">
        <v>-949</v>
      </c>
    </row>
    <row r="53" spans="1:4" customFormat="1" ht="15" x14ac:dyDescent="0.25">
      <c r="A53" s="181" t="s">
        <v>32</v>
      </c>
      <c r="B53" s="181"/>
      <c r="C53" s="181"/>
      <c r="D53" s="181"/>
    </row>
    <row r="54" spans="1:4" customFormat="1" ht="15" x14ac:dyDescent="0.25">
      <c r="A54" s="28" t="s">
        <v>197</v>
      </c>
      <c r="B54" s="124" t="s">
        <v>74</v>
      </c>
      <c r="C54" s="124" t="s">
        <v>74</v>
      </c>
      <c r="D54" s="124" t="s">
        <v>74</v>
      </c>
    </row>
    <row r="55" spans="1:4" customFormat="1" ht="15" x14ac:dyDescent="0.25">
      <c r="A55" s="124" t="s">
        <v>198</v>
      </c>
      <c r="B55" s="131">
        <v>559</v>
      </c>
      <c r="C55" s="131">
        <v>352</v>
      </c>
      <c r="D55" s="131">
        <v>207</v>
      </c>
    </row>
    <row r="56" spans="1:4" customFormat="1" ht="15" x14ac:dyDescent="0.25">
      <c r="A56" s="124" t="s">
        <v>479</v>
      </c>
      <c r="B56" s="131">
        <v>53658</v>
      </c>
      <c r="C56" s="131">
        <v>0</v>
      </c>
      <c r="D56" s="131">
        <v>53658</v>
      </c>
    </row>
    <row r="57" spans="1:4" customFormat="1" ht="15" x14ac:dyDescent="0.25">
      <c r="A57" s="124" t="s">
        <v>490</v>
      </c>
      <c r="B57" s="131">
        <v>5126</v>
      </c>
      <c r="C57" s="131">
        <v>5370</v>
      </c>
      <c r="D57" s="131">
        <v>-244</v>
      </c>
    </row>
    <row r="58" spans="1:4" customFormat="1" ht="15" x14ac:dyDescent="0.25">
      <c r="A58" s="124" t="s">
        <v>451</v>
      </c>
      <c r="B58" s="131">
        <v>0</v>
      </c>
      <c r="C58" s="131">
        <v>91</v>
      </c>
      <c r="D58" s="131">
        <v>-91</v>
      </c>
    </row>
    <row r="59" spans="1:4" customFormat="1" ht="15" x14ac:dyDescent="0.25">
      <c r="A59" s="124" t="s">
        <v>481</v>
      </c>
      <c r="B59" s="131">
        <v>4499</v>
      </c>
      <c r="C59" s="131">
        <v>6066</v>
      </c>
      <c r="D59" s="131">
        <v>-1567</v>
      </c>
    </row>
    <row r="60" spans="1:4" customFormat="1" ht="15" x14ac:dyDescent="0.25">
      <c r="A60" s="124" t="s">
        <v>469</v>
      </c>
      <c r="B60" s="131">
        <v>0</v>
      </c>
      <c r="C60" s="131">
        <v>306</v>
      </c>
      <c r="D60" s="131">
        <v>-306</v>
      </c>
    </row>
    <row r="61" spans="1:4" customFormat="1" ht="15" x14ac:dyDescent="0.25">
      <c r="A61" s="28" t="s">
        <v>199</v>
      </c>
      <c r="B61" s="116">
        <v>63842</v>
      </c>
      <c r="C61" s="116">
        <v>12185</v>
      </c>
      <c r="D61" s="116">
        <v>51657</v>
      </c>
    </row>
    <row r="62" spans="1:4" customFormat="1" ht="15" x14ac:dyDescent="0.25">
      <c r="A62" s="181" t="s">
        <v>32</v>
      </c>
      <c r="B62" s="181"/>
      <c r="C62" s="181"/>
      <c r="D62" s="181"/>
    </row>
    <row r="63" spans="1:4" customFormat="1" ht="15" x14ac:dyDescent="0.25">
      <c r="A63" s="28" t="s">
        <v>200</v>
      </c>
      <c r="B63" s="117">
        <v>17762067</v>
      </c>
      <c r="C63" s="117">
        <v>11898249</v>
      </c>
      <c r="D63" s="117">
        <v>5863818</v>
      </c>
    </row>
    <row r="64" spans="1:4" customFormat="1" ht="15" x14ac:dyDescent="0.25">
      <c r="A64" s="181" t="s">
        <v>32</v>
      </c>
      <c r="B64" s="181"/>
      <c r="C64" s="181"/>
      <c r="D64" s="181"/>
    </row>
    <row r="65" spans="1:4" customFormat="1" ht="15" x14ac:dyDescent="0.25">
      <c r="A65" s="28" t="s">
        <v>201</v>
      </c>
      <c r="B65" s="28" t="s">
        <v>72</v>
      </c>
      <c r="C65" s="28" t="s">
        <v>72</v>
      </c>
      <c r="D65" s="28" t="s">
        <v>72</v>
      </c>
    </row>
    <row r="66" spans="1:4" customFormat="1" ht="15" x14ac:dyDescent="0.25">
      <c r="A66" s="181" t="s">
        <v>32</v>
      </c>
      <c r="B66" s="181"/>
      <c r="C66" s="181"/>
      <c r="D66" s="181"/>
    </row>
    <row r="67" spans="1:4" customFormat="1" ht="15" x14ac:dyDescent="0.25">
      <c r="A67" s="28" t="s">
        <v>202</v>
      </c>
      <c r="B67" s="124" t="s">
        <v>74</v>
      </c>
      <c r="C67" s="124" t="s">
        <v>74</v>
      </c>
      <c r="D67" s="124" t="s">
        <v>74</v>
      </c>
    </row>
    <row r="68" spans="1:4" customFormat="1" ht="15" x14ac:dyDescent="0.25">
      <c r="A68" s="124" t="s">
        <v>203</v>
      </c>
      <c r="B68" s="131">
        <v>684639</v>
      </c>
      <c r="C68" s="131">
        <v>637489</v>
      </c>
      <c r="D68" s="131">
        <v>47150</v>
      </c>
    </row>
    <row r="69" spans="1:4" customFormat="1" ht="15" x14ac:dyDescent="0.25">
      <c r="A69" s="124" t="s">
        <v>204</v>
      </c>
      <c r="B69" s="131">
        <v>6085948</v>
      </c>
      <c r="C69" s="131">
        <v>5528574</v>
      </c>
      <c r="D69" s="131">
        <v>557373</v>
      </c>
    </row>
    <row r="70" spans="1:4" customFormat="1" ht="15" x14ac:dyDescent="0.25">
      <c r="A70" s="124" t="s">
        <v>205</v>
      </c>
      <c r="B70" s="131">
        <v>63535</v>
      </c>
      <c r="C70" s="131">
        <v>55980</v>
      </c>
      <c r="D70" s="131">
        <v>7556</v>
      </c>
    </row>
    <row r="71" spans="1:4" customFormat="1" ht="15" x14ac:dyDescent="0.25">
      <c r="A71" s="124" t="s">
        <v>206</v>
      </c>
      <c r="B71" s="131">
        <v>235550</v>
      </c>
      <c r="C71" s="131">
        <v>157353</v>
      </c>
      <c r="D71" s="131">
        <v>78197</v>
      </c>
    </row>
    <row r="72" spans="1:4" customFormat="1" ht="15" x14ac:dyDescent="0.25">
      <c r="A72" s="124" t="s">
        <v>207</v>
      </c>
      <c r="B72" s="131">
        <v>1286043</v>
      </c>
      <c r="C72" s="131">
        <v>1064189</v>
      </c>
      <c r="D72" s="131">
        <v>221854</v>
      </c>
    </row>
    <row r="73" spans="1:4" customFormat="1" ht="15" x14ac:dyDescent="0.25">
      <c r="A73" s="28" t="s">
        <v>208</v>
      </c>
      <c r="B73" s="116">
        <v>8355715</v>
      </c>
      <c r="C73" s="116">
        <v>7443585</v>
      </c>
      <c r="D73" s="116">
        <v>912130</v>
      </c>
    </row>
    <row r="74" spans="1:4" customFormat="1" ht="15" x14ac:dyDescent="0.25">
      <c r="A74" s="181" t="s">
        <v>32</v>
      </c>
      <c r="B74" s="181"/>
      <c r="C74" s="181"/>
      <c r="D74" s="181"/>
    </row>
    <row r="75" spans="1:4" customFormat="1" ht="15" x14ac:dyDescent="0.25">
      <c r="A75" s="28" t="s">
        <v>209</v>
      </c>
      <c r="B75" s="124" t="s">
        <v>74</v>
      </c>
      <c r="C75" s="124" t="s">
        <v>74</v>
      </c>
      <c r="D75" s="124" t="s">
        <v>74</v>
      </c>
    </row>
    <row r="76" spans="1:4" customFormat="1" ht="15" x14ac:dyDescent="0.25">
      <c r="A76" s="124" t="s">
        <v>210</v>
      </c>
      <c r="B76" s="131">
        <v>202</v>
      </c>
      <c r="C76" s="131">
        <v>10949</v>
      </c>
      <c r="D76" s="131">
        <v>-10747</v>
      </c>
    </row>
    <row r="77" spans="1:4" customFormat="1" ht="15" x14ac:dyDescent="0.25">
      <c r="A77" s="124" t="s">
        <v>211</v>
      </c>
      <c r="B77" s="131">
        <v>603567</v>
      </c>
      <c r="C77" s="131">
        <v>538622</v>
      </c>
      <c r="D77" s="131">
        <v>64944</v>
      </c>
    </row>
    <row r="78" spans="1:4" customFormat="1" ht="15" x14ac:dyDescent="0.25">
      <c r="A78" s="124" t="s">
        <v>212</v>
      </c>
      <c r="B78" s="131">
        <v>509899</v>
      </c>
      <c r="C78" s="131">
        <v>494381</v>
      </c>
      <c r="D78" s="131">
        <v>15519</v>
      </c>
    </row>
    <row r="79" spans="1:4" customFormat="1" ht="15" x14ac:dyDescent="0.25">
      <c r="A79" s="124" t="s">
        <v>452</v>
      </c>
      <c r="B79" s="131">
        <v>40088</v>
      </c>
      <c r="C79" s="131">
        <v>27368</v>
      </c>
      <c r="D79" s="131">
        <v>12720</v>
      </c>
    </row>
    <row r="80" spans="1:4" customFormat="1" ht="15" x14ac:dyDescent="0.25">
      <c r="A80" s="124" t="s">
        <v>470</v>
      </c>
      <c r="B80" s="131">
        <v>119303</v>
      </c>
      <c r="C80" s="131">
        <v>108123</v>
      </c>
      <c r="D80" s="131">
        <v>11180</v>
      </c>
    </row>
    <row r="81" spans="1:4" customFormat="1" ht="15" x14ac:dyDescent="0.25">
      <c r="A81" s="28" t="s">
        <v>213</v>
      </c>
      <c r="B81" s="116">
        <v>1273059</v>
      </c>
      <c r="C81" s="116">
        <v>1179443</v>
      </c>
      <c r="D81" s="116">
        <v>93616</v>
      </c>
    </row>
    <row r="82" spans="1:4" customFormat="1" ht="15" x14ac:dyDescent="0.25">
      <c r="A82" s="181" t="s">
        <v>32</v>
      </c>
      <c r="B82" s="181"/>
      <c r="C82" s="181"/>
      <c r="D82" s="181"/>
    </row>
    <row r="83" spans="1:4" customFormat="1" ht="15" x14ac:dyDescent="0.25">
      <c r="A83" s="28" t="s">
        <v>214</v>
      </c>
      <c r="B83" s="124" t="s">
        <v>74</v>
      </c>
      <c r="C83" s="124" t="s">
        <v>74</v>
      </c>
      <c r="D83" s="124" t="s">
        <v>74</v>
      </c>
    </row>
    <row r="84" spans="1:4" customFormat="1" ht="15" x14ac:dyDescent="0.25">
      <c r="A84" s="28" t="s">
        <v>215</v>
      </c>
      <c r="B84" s="124" t="s">
        <v>178</v>
      </c>
      <c r="C84" s="124" t="s">
        <v>178</v>
      </c>
      <c r="D84" s="124" t="s">
        <v>178</v>
      </c>
    </row>
    <row r="85" spans="1:4" customFormat="1" ht="15" x14ac:dyDescent="0.25">
      <c r="A85" s="124" t="s">
        <v>216</v>
      </c>
      <c r="B85" s="131">
        <v>5162</v>
      </c>
      <c r="C85" s="131">
        <v>4566</v>
      </c>
      <c r="D85" s="131">
        <v>597</v>
      </c>
    </row>
    <row r="86" spans="1:4" customFormat="1" ht="15" x14ac:dyDescent="0.25">
      <c r="A86" s="124" t="s">
        <v>217</v>
      </c>
      <c r="B86" s="131">
        <v>318401</v>
      </c>
      <c r="C86" s="131">
        <v>356177</v>
      </c>
      <c r="D86" s="131">
        <v>-37777</v>
      </c>
    </row>
    <row r="87" spans="1:4" customFormat="1" ht="15" x14ac:dyDescent="0.25">
      <c r="A87" s="124" t="s">
        <v>491</v>
      </c>
      <c r="B87" s="131">
        <v>0</v>
      </c>
      <c r="C87" s="131">
        <v>38107</v>
      </c>
      <c r="D87" s="131">
        <v>-38107</v>
      </c>
    </row>
    <row r="88" spans="1:4" customFormat="1" ht="15" x14ac:dyDescent="0.25">
      <c r="A88" s="124" t="s">
        <v>218</v>
      </c>
      <c r="B88" s="131">
        <v>487</v>
      </c>
      <c r="C88" s="131">
        <v>102135</v>
      </c>
      <c r="D88" s="131">
        <v>-101649</v>
      </c>
    </row>
    <row r="89" spans="1:4" customFormat="1" ht="15" x14ac:dyDescent="0.25">
      <c r="A89" s="124" t="s">
        <v>219</v>
      </c>
      <c r="B89" s="131">
        <v>29055</v>
      </c>
      <c r="C89" s="131">
        <v>23160</v>
      </c>
      <c r="D89" s="131">
        <v>5895</v>
      </c>
    </row>
    <row r="90" spans="1:4" customFormat="1" ht="15" x14ac:dyDescent="0.25">
      <c r="A90" s="124" t="s">
        <v>466</v>
      </c>
      <c r="B90" s="131">
        <v>500</v>
      </c>
      <c r="C90" s="131">
        <v>0</v>
      </c>
      <c r="D90" s="131">
        <v>500</v>
      </c>
    </row>
    <row r="91" spans="1:4" customFormat="1" ht="15" x14ac:dyDescent="0.25">
      <c r="A91" s="28" t="s">
        <v>220</v>
      </c>
      <c r="B91" s="116">
        <v>353605</v>
      </c>
      <c r="C91" s="116">
        <v>524145</v>
      </c>
      <c r="D91" s="116">
        <v>-170541</v>
      </c>
    </row>
    <row r="92" spans="1:4" customFormat="1" ht="15" x14ac:dyDescent="0.25">
      <c r="A92" s="181" t="s">
        <v>32</v>
      </c>
      <c r="B92" s="181"/>
      <c r="C92" s="181"/>
      <c r="D92" s="181"/>
    </row>
    <row r="93" spans="1:4" customFormat="1" ht="15" x14ac:dyDescent="0.25">
      <c r="A93" s="28" t="s">
        <v>221</v>
      </c>
      <c r="B93" s="124" t="s">
        <v>178</v>
      </c>
      <c r="C93" s="124" t="s">
        <v>178</v>
      </c>
      <c r="D93" s="124" t="s">
        <v>178</v>
      </c>
    </row>
    <row r="94" spans="1:4" customFormat="1" ht="15" x14ac:dyDescent="0.25">
      <c r="A94" s="124" t="s">
        <v>222</v>
      </c>
      <c r="B94" s="131">
        <v>163270</v>
      </c>
      <c r="C94" s="131">
        <v>139494</v>
      </c>
      <c r="D94" s="131">
        <v>23777</v>
      </c>
    </row>
    <row r="95" spans="1:4" customFormat="1" ht="15" x14ac:dyDescent="0.25">
      <c r="A95" s="124" t="s">
        <v>223</v>
      </c>
      <c r="B95" s="131">
        <v>120459</v>
      </c>
      <c r="C95" s="131">
        <v>126272</v>
      </c>
      <c r="D95" s="131">
        <v>-5813</v>
      </c>
    </row>
    <row r="96" spans="1:4" customFormat="1" ht="15" x14ac:dyDescent="0.25">
      <c r="A96" s="124" t="s">
        <v>224</v>
      </c>
      <c r="B96" s="131">
        <v>30000</v>
      </c>
      <c r="C96" s="131">
        <v>4985</v>
      </c>
      <c r="D96" s="131">
        <v>25015</v>
      </c>
    </row>
    <row r="97" spans="1:4" customFormat="1" ht="15" x14ac:dyDescent="0.25">
      <c r="A97" s="124" t="s">
        <v>225</v>
      </c>
      <c r="B97" s="131">
        <v>29272</v>
      </c>
      <c r="C97" s="131">
        <v>44058</v>
      </c>
      <c r="D97" s="131">
        <v>-14786</v>
      </c>
    </row>
    <row r="98" spans="1:4" customFormat="1" ht="15" x14ac:dyDescent="0.25">
      <c r="A98" s="28" t="s">
        <v>226</v>
      </c>
      <c r="B98" s="116">
        <v>343001</v>
      </c>
      <c r="C98" s="116">
        <v>314809</v>
      </c>
      <c r="D98" s="116">
        <v>28193</v>
      </c>
    </row>
    <row r="99" spans="1:4" customFormat="1" ht="15" x14ac:dyDescent="0.25">
      <c r="A99" s="181" t="s">
        <v>32</v>
      </c>
      <c r="B99" s="181"/>
      <c r="C99" s="181"/>
      <c r="D99" s="181"/>
    </row>
    <row r="100" spans="1:4" customFormat="1" ht="15" x14ac:dyDescent="0.25">
      <c r="A100" s="28" t="s">
        <v>227</v>
      </c>
      <c r="B100" s="124" t="s">
        <v>178</v>
      </c>
      <c r="C100" s="124" t="s">
        <v>178</v>
      </c>
      <c r="D100" s="124" t="s">
        <v>178</v>
      </c>
    </row>
    <row r="101" spans="1:4" customFormat="1" ht="15" x14ac:dyDescent="0.25">
      <c r="A101" s="124" t="s">
        <v>228</v>
      </c>
      <c r="B101" s="131">
        <v>245764</v>
      </c>
      <c r="C101" s="131">
        <v>199790</v>
      </c>
      <c r="D101" s="131">
        <v>45974</v>
      </c>
    </row>
    <row r="102" spans="1:4" customFormat="1" ht="15" x14ac:dyDescent="0.25">
      <c r="A102" s="124" t="s">
        <v>229</v>
      </c>
      <c r="B102" s="131">
        <v>23600</v>
      </c>
      <c r="C102" s="131">
        <v>23600</v>
      </c>
      <c r="D102" s="131">
        <v>0</v>
      </c>
    </row>
    <row r="103" spans="1:4" customFormat="1" ht="15" x14ac:dyDescent="0.25">
      <c r="A103" s="28" t="s">
        <v>230</v>
      </c>
      <c r="B103" s="116">
        <v>269364</v>
      </c>
      <c r="C103" s="116">
        <v>223390</v>
      </c>
      <c r="D103" s="116">
        <v>45974</v>
      </c>
    </row>
    <row r="104" spans="1:4" customFormat="1" ht="15" x14ac:dyDescent="0.25">
      <c r="A104" s="181" t="s">
        <v>32</v>
      </c>
      <c r="B104" s="181"/>
      <c r="C104" s="181"/>
      <c r="D104" s="181"/>
    </row>
    <row r="105" spans="1:4" customFormat="1" ht="15" x14ac:dyDescent="0.25">
      <c r="A105" s="28" t="s">
        <v>231</v>
      </c>
      <c r="B105" s="124" t="s">
        <v>178</v>
      </c>
      <c r="C105" s="124" t="s">
        <v>178</v>
      </c>
      <c r="D105" s="124" t="s">
        <v>178</v>
      </c>
    </row>
    <row r="106" spans="1:4" customFormat="1" ht="15" x14ac:dyDescent="0.25">
      <c r="A106" s="124" t="s">
        <v>232</v>
      </c>
      <c r="B106" s="131">
        <v>201236</v>
      </c>
      <c r="C106" s="131">
        <v>150154</v>
      </c>
      <c r="D106" s="131">
        <v>51082</v>
      </c>
    </row>
    <row r="107" spans="1:4" customFormat="1" ht="15" x14ac:dyDescent="0.25">
      <c r="A107" s="28" t="s">
        <v>233</v>
      </c>
      <c r="B107" s="116">
        <v>201236</v>
      </c>
      <c r="C107" s="116">
        <v>150154</v>
      </c>
      <c r="D107" s="116">
        <v>51082</v>
      </c>
    </row>
    <row r="108" spans="1:4" customFormat="1" ht="15" x14ac:dyDescent="0.25">
      <c r="A108" s="181" t="s">
        <v>32</v>
      </c>
      <c r="B108" s="181"/>
      <c r="C108" s="181"/>
      <c r="D108" s="181"/>
    </row>
    <row r="109" spans="1:4" customFormat="1" ht="15" x14ac:dyDescent="0.25">
      <c r="A109" s="28" t="s">
        <v>234</v>
      </c>
      <c r="B109" s="124" t="s">
        <v>178</v>
      </c>
      <c r="C109" s="124" t="s">
        <v>178</v>
      </c>
      <c r="D109" s="124" t="s">
        <v>178</v>
      </c>
    </row>
    <row r="110" spans="1:4" customFormat="1" ht="15" x14ac:dyDescent="0.25">
      <c r="A110" s="124" t="s">
        <v>235</v>
      </c>
      <c r="B110" s="131">
        <v>105719</v>
      </c>
      <c r="C110" s="131">
        <v>122065</v>
      </c>
      <c r="D110" s="131">
        <v>-16347</v>
      </c>
    </row>
    <row r="111" spans="1:4" customFormat="1" ht="15" x14ac:dyDescent="0.25">
      <c r="A111" s="124" t="s">
        <v>236</v>
      </c>
      <c r="B111" s="131">
        <v>0</v>
      </c>
      <c r="C111" s="131">
        <v>47</v>
      </c>
      <c r="D111" s="131">
        <v>-46</v>
      </c>
    </row>
    <row r="112" spans="1:4" customFormat="1" ht="15" x14ac:dyDescent="0.25">
      <c r="A112" s="28" t="s">
        <v>237</v>
      </c>
      <c r="B112" s="116">
        <v>105719</v>
      </c>
      <c r="C112" s="116">
        <v>122112</v>
      </c>
      <c r="D112" s="116">
        <v>-16393</v>
      </c>
    </row>
    <row r="113" spans="1:4" customFormat="1" ht="15" x14ac:dyDescent="0.25">
      <c r="A113" s="181" t="s">
        <v>32</v>
      </c>
      <c r="B113" s="181"/>
      <c r="C113" s="181"/>
      <c r="D113" s="181"/>
    </row>
    <row r="114" spans="1:4" customFormat="1" ht="15" x14ac:dyDescent="0.25">
      <c r="A114" s="28" t="s">
        <v>238</v>
      </c>
      <c r="B114" s="124" t="s">
        <v>178</v>
      </c>
      <c r="C114" s="124" t="s">
        <v>178</v>
      </c>
      <c r="D114" s="124" t="s">
        <v>178</v>
      </c>
    </row>
    <row r="115" spans="1:4" customFormat="1" ht="15" x14ac:dyDescent="0.25">
      <c r="A115" s="124" t="s">
        <v>239</v>
      </c>
      <c r="B115" s="131">
        <v>17447</v>
      </c>
      <c r="C115" s="131">
        <v>25080</v>
      </c>
      <c r="D115" s="131">
        <v>-7633</v>
      </c>
    </row>
    <row r="116" spans="1:4" customFormat="1" ht="15" x14ac:dyDescent="0.25">
      <c r="A116" s="28" t="s">
        <v>240</v>
      </c>
      <c r="B116" s="116">
        <v>17447</v>
      </c>
      <c r="C116" s="116">
        <v>25080</v>
      </c>
      <c r="D116" s="116">
        <v>-7633</v>
      </c>
    </row>
    <row r="117" spans="1:4" customFormat="1" ht="15" x14ac:dyDescent="0.25">
      <c r="A117" s="181" t="s">
        <v>32</v>
      </c>
      <c r="B117" s="181"/>
      <c r="C117" s="181"/>
      <c r="D117" s="181"/>
    </row>
    <row r="118" spans="1:4" customFormat="1" ht="15" x14ac:dyDescent="0.25">
      <c r="A118" s="28" t="s">
        <v>241</v>
      </c>
      <c r="B118" s="124" t="s">
        <v>178</v>
      </c>
      <c r="C118" s="124" t="s">
        <v>178</v>
      </c>
      <c r="D118" s="124" t="s">
        <v>178</v>
      </c>
    </row>
    <row r="119" spans="1:4" customFormat="1" ht="15" x14ac:dyDescent="0.25">
      <c r="A119" s="124" t="s">
        <v>242</v>
      </c>
      <c r="B119" s="131">
        <v>69054</v>
      </c>
      <c r="C119" s="131">
        <v>58856</v>
      </c>
      <c r="D119" s="131">
        <v>10199</v>
      </c>
    </row>
    <row r="120" spans="1:4" customFormat="1" ht="15" x14ac:dyDescent="0.25">
      <c r="A120" s="124" t="s">
        <v>243</v>
      </c>
      <c r="B120" s="131">
        <v>4126</v>
      </c>
      <c r="C120" s="131">
        <v>7210</v>
      </c>
      <c r="D120" s="131">
        <v>-3084</v>
      </c>
    </row>
    <row r="121" spans="1:4" customFormat="1" ht="15" x14ac:dyDescent="0.25">
      <c r="A121" s="28" t="s">
        <v>244</v>
      </c>
      <c r="B121" s="116">
        <v>73180</v>
      </c>
      <c r="C121" s="116">
        <v>66066</v>
      </c>
      <c r="D121" s="116">
        <v>7115</v>
      </c>
    </row>
    <row r="122" spans="1:4" customFormat="1" ht="15" x14ac:dyDescent="0.25">
      <c r="A122" s="28" t="s">
        <v>245</v>
      </c>
      <c r="B122" s="116">
        <v>1363552</v>
      </c>
      <c r="C122" s="116">
        <v>1425756</v>
      </c>
      <c r="D122" s="116">
        <v>-62203</v>
      </c>
    </row>
    <row r="123" spans="1:4" customFormat="1" ht="15" x14ac:dyDescent="0.25">
      <c r="A123" s="181" t="s">
        <v>32</v>
      </c>
      <c r="B123" s="181"/>
      <c r="C123" s="181"/>
      <c r="D123" s="181"/>
    </row>
    <row r="124" spans="1:4" customFormat="1" ht="15" x14ac:dyDescent="0.25">
      <c r="A124" s="28" t="s">
        <v>246</v>
      </c>
      <c r="B124" s="124" t="s">
        <v>74</v>
      </c>
      <c r="C124" s="124" t="s">
        <v>74</v>
      </c>
      <c r="D124" s="124" t="s">
        <v>74</v>
      </c>
    </row>
    <row r="125" spans="1:4" customFormat="1" ht="15" x14ac:dyDescent="0.25">
      <c r="A125" s="124" t="s">
        <v>247</v>
      </c>
      <c r="B125" s="131">
        <v>168551</v>
      </c>
      <c r="C125" s="131">
        <v>132734</v>
      </c>
      <c r="D125" s="131">
        <v>35816</v>
      </c>
    </row>
    <row r="126" spans="1:4" customFormat="1" ht="15" x14ac:dyDescent="0.25">
      <c r="A126" s="28" t="s">
        <v>248</v>
      </c>
      <c r="B126" s="116">
        <v>168551</v>
      </c>
      <c r="C126" s="116">
        <v>132734</v>
      </c>
      <c r="D126" s="116">
        <v>35816</v>
      </c>
    </row>
    <row r="127" spans="1:4" customFormat="1" ht="15" x14ac:dyDescent="0.25">
      <c r="A127" s="181" t="s">
        <v>32</v>
      </c>
      <c r="B127" s="181"/>
      <c r="C127" s="181"/>
      <c r="D127" s="181"/>
    </row>
    <row r="128" spans="1:4" customFormat="1" ht="15" x14ac:dyDescent="0.25">
      <c r="A128" s="28" t="s">
        <v>249</v>
      </c>
      <c r="B128" s="124" t="s">
        <v>74</v>
      </c>
      <c r="C128" s="124" t="s">
        <v>74</v>
      </c>
      <c r="D128" s="124" t="s">
        <v>74</v>
      </c>
    </row>
    <row r="129" spans="1:4" customFormat="1" ht="15" x14ac:dyDescent="0.25">
      <c r="A129" s="28" t="s">
        <v>250</v>
      </c>
      <c r="B129" s="124" t="s">
        <v>178</v>
      </c>
      <c r="C129" s="124" t="s">
        <v>178</v>
      </c>
      <c r="D129" s="124" t="s">
        <v>178</v>
      </c>
    </row>
    <row r="130" spans="1:4" customFormat="1" ht="15" x14ac:dyDescent="0.25">
      <c r="A130" s="124" t="s">
        <v>251</v>
      </c>
      <c r="B130" s="131">
        <v>13680</v>
      </c>
      <c r="C130" s="131">
        <v>13623</v>
      </c>
      <c r="D130" s="131">
        <v>57</v>
      </c>
    </row>
    <row r="131" spans="1:4" customFormat="1" ht="15" x14ac:dyDescent="0.25">
      <c r="A131" s="124" t="s">
        <v>252</v>
      </c>
      <c r="B131" s="131">
        <v>483739</v>
      </c>
      <c r="C131" s="131">
        <v>410466</v>
      </c>
      <c r="D131" s="131">
        <v>73273</v>
      </c>
    </row>
    <row r="132" spans="1:4" customFormat="1" ht="15" x14ac:dyDescent="0.25">
      <c r="A132" s="28" t="s">
        <v>253</v>
      </c>
      <c r="B132" s="116">
        <v>497419</v>
      </c>
      <c r="C132" s="116">
        <v>424089</v>
      </c>
      <c r="D132" s="116">
        <v>73330</v>
      </c>
    </row>
    <row r="133" spans="1:4" customFormat="1" ht="15" x14ac:dyDescent="0.25">
      <c r="A133" s="181" t="s">
        <v>32</v>
      </c>
      <c r="B133" s="181"/>
      <c r="C133" s="181"/>
      <c r="D133" s="181"/>
    </row>
    <row r="134" spans="1:4" x14ac:dyDescent="0.2">
      <c r="A134" s="28" t="s">
        <v>254</v>
      </c>
      <c r="B134" s="124" t="s">
        <v>178</v>
      </c>
      <c r="C134" s="124" t="s">
        <v>178</v>
      </c>
      <c r="D134" s="124" t="s">
        <v>178</v>
      </c>
    </row>
    <row r="135" spans="1:4" x14ac:dyDescent="0.2">
      <c r="A135" s="124" t="s">
        <v>255</v>
      </c>
      <c r="B135" s="131">
        <v>59620</v>
      </c>
      <c r="C135" s="131">
        <v>64868</v>
      </c>
      <c r="D135" s="131">
        <v>-5248</v>
      </c>
    </row>
    <row r="136" spans="1:4" x14ac:dyDescent="0.2">
      <c r="A136" s="28" t="s">
        <v>256</v>
      </c>
      <c r="B136" s="116">
        <v>59620</v>
      </c>
      <c r="C136" s="116">
        <v>64868</v>
      </c>
      <c r="D136" s="116">
        <v>-5248</v>
      </c>
    </row>
    <row r="137" spans="1:4" x14ac:dyDescent="0.2">
      <c r="A137" s="28" t="s">
        <v>257</v>
      </c>
      <c r="B137" s="116">
        <v>557039</v>
      </c>
      <c r="C137" s="116">
        <v>488957</v>
      </c>
      <c r="D137" s="116">
        <v>68082</v>
      </c>
    </row>
    <row r="138" spans="1:4" x14ac:dyDescent="0.2">
      <c r="A138" s="181" t="s">
        <v>32</v>
      </c>
      <c r="B138" s="181"/>
      <c r="C138" s="181"/>
      <c r="D138" s="181"/>
    </row>
    <row r="139" spans="1:4" x14ac:dyDescent="0.2">
      <c r="A139" s="28" t="s">
        <v>258</v>
      </c>
      <c r="B139" s="124" t="s">
        <v>74</v>
      </c>
      <c r="C139" s="124" t="s">
        <v>74</v>
      </c>
      <c r="D139" s="124" t="s">
        <v>74</v>
      </c>
    </row>
    <row r="140" spans="1:4" x14ac:dyDescent="0.2">
      <c r="A140" s="28" t="s">
        <v>259</v>
      </c>
      <c r="B140" s="124" t="s">
        <v>178</v>
      </c>
      <c r="C140" s="124" t="s">
        <v>178</v>
      </c>
      <c r="D140" s="124" t="s">
        <v>178</v>
      </c>
    </row>
    <row r="141" spans="1:4" x14ac:dyDescent="0.2">
      <c r="A141" s="124" t="s">
        <v>260</v>
      </c>
      <c r="B141" s="131">
        <v>5285968</v>
      </c>
      <c r="C141" s="131">
        <v>0</v>
      </c>
      <c r="D141" s="131">
        <v>5285968</v>
      </c>
    </row>
    <row r="142" spans="1:4" x14ac:dyDescent="0.2">
      <c r="A142" s="28" t="s">
        <v>261</v>
      </c>
      <c r="B142" s="116">
        <v>5285968</v>
      </c>
      <c r="C142" s="116">
        <v>0</v>
      </c>
      <c r="D142" s="116">
        <v>5285968</v>
      </c>
    </row>
    <row r="143" spans="1:4" x14ac:dyDescent="0.2">
      <c r="A143" s="181" t="s">
        <v>32</v>
      </c>
      <c r="B143" s="181"/>
      <c r="C143" s="181"/>
      <c r="D143" s="181"/>
    </row>
    <row r="144" spans="1:4" x14ac:dyDescent="0.2">
      <c r="A144" s="28" t="s">
        <v>262</v>
      </c>
      <c r="B144" s="124" t="s">
        <v>178</v>
      </c>
      <c r="C144" s="124" t="s">
        <v>178</v>
      </c>
      <c r="D144" s="124" t="s">
        <v>178</v>
      </c>
    </row>
    <row r="145" spans="1:4" x14ac:dyDescent="0.2">
      <c r="A145" s="124" t="s">
        <v>263</v>
      </c>
      <c r="B145" s="131">
        <v>28950</v>
      </c>
      <c r="C145" s="131">
        <v>0</v>
      </c>
      <c r="D145" s="131">
        <v>28950</v>
      </c>
    </row>
    <row r="146" spans="1:4" x14ac:dyDescent="0.2">
      <c r="A146" s="124" t="s">
        <v>462</v>
      </c>
      <c r="B146" s="131">
        <v>6822</v>
      </c>
      <c r="C146" s="131">
        <v>0</v>
      </c>
      <c r="D146" s="131">
        <v>6822</v>
      </c>
    </row>
    <row r="147" spans="1:4" x14ac:dyDescent="0.2">
      <c r="A147" s="28" t="s">
        <v>264</v>
      </c>
      <c r="B147" s="116">
        <v>35772</v>
      </c>
      <c r="C147" s="116">
        <v>0</v>
      </c>
      <c r="D147" s="116">
        <v>35772</v>
      </c>
    </row>
    <row r="148" spans="1:4" x14ac:dyDescent="0.2">
      <c r="A148" s="181" t="s">
        <v>32</v>
      </c>
      <c r="B148" s="181"/>
      <c r="C148" s="181"/>
      <c r="D148" s="181"/>
    </row>
    <row r="149" spans="1:4" x14ac:dyDescent="0.2">
      <c r="A149" s="28" t="s">
        <v>265</v>
      </c>
      <c r="B149" s="124" t="s">
        <v>178</v>
      </c>
      <c r="C149" s="124" t="s">
        <v>178</v>
      </c>
      <c r="D149" s="124" t="s">
        <v>178</v>
      </c>
    </row>
    <row r="150" spans="1:4" x14ac:dyDescent="0.2">
      <c r="A150" s="124" t="s">
        <v>266</v>
      </c>
      <c r="B150" s="131">
        <v>224390</v>
      </c>
      <c r="C150" s="131">
        <v>203613</v>
      </c>
      <c r="D150" s="131">
        <v>20777</v>
      </c>
    </row>
    <row r="151" spans="1:4" x14ac:dyDescent="0.2">
      <c r="A151" s="28" t="s">
        <v>267</v>
      </c>
      <c r="B151" s="116">
        <v>224390</v>
      </c>
      <c r="C151" s="116">
        <v>203613</v>
      </c>
      <c r="D151" s="116">
        <v>20777</v>
      </c>
    </row>
    <row r="152" spans="1:4" x14ac:dyDescent="0.2">
      <c r="A152" s="28" t="s">
        <v>268</v>
      </c>
      <c r="B152" s="116">
        <v>5546130</v>
      </c>
      <c r="C152" s="116">
        <v>203613</v>
      </c>
      <c r="D152" s="116">
        <v>5342517</v>
      </c>
    </row>
    <row r="153" spans="1:4" x14ac:dyDescent="0.2">
      <c r="A153" s="181" t="s">
        <v>32</v>
      </c>
      <c r="B153" s="181"/>
      <c r="C153" s="181"/>
      <c r="D153" s="181"/>
    </row>
    <row r="154" spans="1:4" x14ac:dyDescent="0.2">
      <c r="A154" s="28" t="s">
        <v>269</v>
      </c>
      <c r="B154" s="124" t="s">
        <v>74</v>
      </c>
      <c r="C154" s="124" t="s">
        <v>74</v>
      </c>
      <c r="D154" s="124" t="s">
        <v>74</v>
      </c>
    </row>
    <row r="155" spans="1:4" x14ac:dyDescent="0.2">
      <c r="A155" s="124" t="s">
        <v>270</v>
      </c>
      <c r="B155" s="131">
        <v>357428</v>
      </c>
      <c r="C155" s="131">
        <v>0</v>
      </c>
      <c r="D155" s="131">
        <v>357428</v>
      </c>
    </row>
    <row r="156" spans="1:4" x14ac:dyDescent="0.2">
      <c r="A156" s="124" t="s">
        <v>453</v>
      </c>
      <c r="B156" s="131">
        <v>562012</v>
      </c>
      <c r="C156" s="131">
        <v>357440</v>
      </c>
      <c r="D156" s="131">
        <v>204572</v>
      </c>
    </row>
    <row r="157" spans="1:4" x14ac:dyDescent="0.2">
      <c r="A157" s="124" t="s">
        <v>271</v>
      </c>
      <c r="B157" s="131">
        <v>10554</v>
      </c>
      <c r="C157" s="131">
        <v>9539</v>
      </c>
      <c r="D157" s="131">
        <v>1015</v>
      </c>
    </row>
    <row r="158" spans="1:4" x14ac:dyDescent="0.2">
      <c r="A158" s="124" t="s">
        <v>492</v>
      </c>
      <c r="B158" s="131">
        <v>0</v>
      </c>
      <c r="C158" s="131">
        <v>459915</v>
      </c>
      <c r="D158" s="131">
        <v>-459915</v>
      </c>
    </row>
    <row r="159" spans="1:4" x14ac:dyDescent="0.2">
      <c r="A159" s="124" t="s">
        <v>272</v>
      </c>
      <c r="B159" s="131">
        <v>17193</v>
      </c>
      <c r="C159" s="131">
        <v>17513</v>
      </c>
      <c r="D159" s="131">
        <v>-320</v>
      </c>
    </row>
    <row r="160" spans="1:4" x14ac:dyDescent="0.2">
      <c r="A160" s="124" t="s">
        <v>273</v>
      </c>
      <c r="B160" s="131">
        <v>97548</v>
      </c>
      <c r="C160" s="131">
        <v>48391</v>
      </c>
      <c r="D160" s="131">
        <v>49157</v>
      </c>
    </row>
    <row r="161" spans="1:4" x14ac:dyDescent="0.2">
      <c r="A161" s="28" t="s">
        <v>274</v>
      </c>
      <c r="B161" s="116">
        <v>1044735</v>
      </c>
      <c r="C161" s="116">
        <v>892798</v>
      </c>
      <c r="D161" s="116">
        <v>151937</v>
      </c>
    </row>
    <row r="162" spans="1:4" x14ac:dyDescent="0.2">
      <c r="A162" s="181" t="s">
        <v>32</v>
      </c>
      <c r="B162" s="181"/>
      <c r="C162" s="181"/>
      <c r="D162" s="181"/>
    </row>
    <row r="163" spans="1:4" x14ac:dyDescent="0.2">
      <c r="A163" s="28" t="s">
        <v>275</v>
      </c>
      <c r="B163" s="117">
        <v>18308781</v>
      </c>
      <c r="C163" s="117">
        <v>11766886</v>
      </c>
      <c r="D163" s="117">
        <v>6541895</v>
      </c>
    </row>
    <row r="164" spans="1:4" x14ac:dyDescent="0.2">
      <c r="A164" s="181" t="s">
        <v>32</v>
      </c>
      <c r="B164" s="181"/>
      <c r="C164" s="181"/>
      <c r="D164" s="181"/>
    </row>
    <row r="165" spans="1:4" ht="13.5" thickBot="1" x14ac:dyDescent="0.25">
      <c r="A165" s="28" t="s">
        <v>276</v>
      </c>
      <c r="B165" s="167">
        <v>-546714</v>
      </c>
      <c r="C165" s="167">
        <v>131363</v>
      </c>
      <c r="D165" s="167">
        <v>-678077</v>
      </c>
    </row>
    <row r="166" spans="1:4" ht="13.5" thickTop="1" x14ac:dyDescent="0.2"/>
  </sheetData>
  <mergeCells count="27">
    <mergeCell ref="A123:D123"/>
    <mergeCell ref="A127:D127"/>
    <mergeCell ref="A133:D133"/>
    <mergeCell ref="A64:D64"/>
    <mergeCell ref="A66:D66"/>
    <mergeCell ref="A74:D74"/>
    <mergeCell ref="A82:D82"/>
    <mergeCell ref="A92:D92"/>
    <mergeCell ref="A99:D99"/>
    <mergeCell ref="A104:D104"/>
    <mergeCell ref="A108:D108"/>
    <mergeCell ref="A113:D113"/>
    <mergeCell ref="A117:D117"/>
    <mergeCell ref="A62:D62"/>
    <mergeCell ref="A12:D12"/>
    <mergeCell ref="A17:D17"/>
    <mergeCell ref="A24:D24"/>
    <mergeCell ref="A30:D30"/>
    <mergeCell ref="A34:D34"/>
    <mergeCell ref="A49:D49"/>
    <mergeCell ref="A53:D53"/>
    <mergeCell ref="A164:D164"/>
    <mergeCell ref="A138:D138"/>
    <mergeCell ref="A143:D143"/>
    <mergeCell ref="A148:D148"/>
    <mergeCell ref="A153:D153"/>
    <mergeCell ref="A162:D162"/>
  </mergeCells>
  <pageMargins left="0.75" right="0.75" top="1" bottom="1" header="0.5" footer="0.5"/>
  <pageSetup scale="65" orientation="portrait" horizontalDpi="300" verticalDpi="300" r:id="rId1"/>
  <rowBreaks count="2" manualBreakCount="2">
    <brk id="62" max="3" man="1"/>
    <brk id="124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773E9-B580-4005-845F-250F36490439}">
  <sheetPr>
    <tabColor rgb="FF8DB4E2"/>
  </sheetPr>
  <dimension ref="A1:V33"/>
  <sheetViews>
    <sheetView workbookViewId="0">
      <pane xSplit="1" ySplit="12" topLeftCell="N13" activePane="bottomRight" state="frozen"/>
      <selection activeCell="Y46" sqref="Y46"/>
      <selection pane="topRight" activeCell="Y46" sqref="Y46"/>
      <selection pane="bottomLeft" activeCell="Y46" sqref="Y46"/>
      <selection pane="bottomRight" activeCell="Y46" sqref="Y46"/>
    </sheetView>
  </sheetViews>
  <sheetFormatPr defaultColWidth="9.140625" defaultRowHeight="12.75" x14ac:dyDescent="0.2"/>
  <cols>
    <col min="1" max="1" width="45.42578125" style="115" bestFit="1" customWidth="1"/>
    <col min="2" max="2" width="41.140625" style="115" bestFit="1" customWidth="1"/>
    <col min="3" max="3" width="15.140625" style="115" bestFit="1" customWidth="1"/>
    <col min="4" max="4" width="12.85546875" style="115" bestFit="1" customWidth="1"/>
    <col min="5" max="5" width="21.5703125" style="115" bestFit="1" customWidth="1"/>
    <col min="6" max="6" width="14.140625" style="115" bestFit="1" customWidth="1"/>
    <col min="7" max="8" width="12.85546875" style="115" bestFit="1" customWidth="1"/>
    <col min="9" max="9" width="14.5703125" style="115" bestFit="1" customWidth="1"/>
    <col min="10" max="10" width="14.140625" style="115" bestFit="1" customWidth="1"/>
    <col min="11" max="11" width="17.42578125" style="115" bestFit="1" customWidth="1"/>
    <col min="12" max="15" width="17.42578125" style="115" customWidth="1"/>
    <col min="16" max="16" width="39" style="115" bestFit="1" customWidth="1"/>
    <col min="17" max="17" width="40.140625" style="115" customWidth="1"/>
    <col min="18" max="18" width="43.42578125" style="115" hidden="1" customWidth="1"/>
    <col min="19" max="19" width="48.85546875" style="115" bestFit="1" customWidth="1"/>
    <col min="20" max="20" width="24.140625" style="115" hidden="1" customWidth="1"/>
    <col min="21" max="21" width="28.85546875" style="115" hidden="1" customWidth="1"/>
    <col min="22" max="22" width="12.85546875" style="115" bestFit="1" customWidth="1"/>
    <col min="23" max="16384" width="9.140625" style="115"/>
  </cols>
  <sheetData>
    <row r="1" spans="1:22" ht="18" x14ac:dyDescent="0.25">
      <c r="A1" s="143" t="s">
        <v>62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ht="18" x14ac:dyDescent="0.25">
      <c r="A2" s="143" t="s">
        <v>454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ht="18" x14ac:dyDescent="0.25">
      <c r="A3" s="144" t="s">
        <v>277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ht="18" x14ac:dyDescent="0.25">
      <c r="A4" s="144" t="s">
        <v>493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 ht="15" x14ac:dyDescent="0.25">
      <c r="A5" s="145" t="s">
        <v>64</v>
      </c>
      <c r="B5" s="145" t="s">
        <v>65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ht="15" x14ac:dyDescent="0.25">
      <c r="A6" s="145" t="s">
        <v>66</v>
      </c>
      <c r="B6" s="145" t="s">
        <v>484</v>
      </c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 ht="15" x14ac:dyDescent="0.25">
      <c r="A7" s="145" t="s">
        <v>67</v>
      </c>
      <c r="B7" s="145" t="s">
        <v>68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 ht="15" x14ac:dyDescent="0.25">
      <c r="A8" s="145" t="s">
        <v>446</v>
      </c>
      <c r="B8" s="146" t="s">
        <v>278</v>
      </c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 ht="15" x14ac:dyDescent="0.25">
      <c r="A9" s="146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 s="135" customFormat="1" x14ac:dyDescent="0.2">
      <c r="A10" s="145" t="s">
        <v>32</v>
      </c>
      <c r="B10" s="158" t="s">
        <v>279</v>
      </c>
      <c r="C10" s="158" t="s">
        <v>280</v>
      </c>
      <c r="D10" s="158" t="s">
        <v>281</v>
      </c>
      <c r="E10" s="158" t="s">
        <v>282</v>
      </c>
      <c r="F10" s="158" t="s">
        <v>283</v>
      </c>
      <c r="G10" s="158" t="s">
        <v>284</v>
      </c>
      <c r="H10" s="158" t="s">
        <v>285</v>
      </c>
      <c r="I10" s="158" t="s">
        <v>286</v>
      </c>
      <c r="J10" s="158" t="s">
        <v>287</v>
      </c>
      <c r="K10" s="158" t="s">
        <v>288</v>
      </c>
      <c r="L10" s="158" t="s">
        <v>289</v>
      </c>
      <c r="M10" s="158" t="s">
        <v>290</v>
      </c>
      <c r="N10" s="158" t="s">
        <v>474</v>
      </c>
      <c r="O10" s="158" t="s">
        <v>475</v>
      </c>
      <c r="P10" s="158" t="s">
        <v>291</v>
      </c>
      <c r="Q10" s="158" t="s">
        <v>292</v>
      </c>
      <c r="R10" s="158" t="s">
        <v>293</v>
      </c>
      <c r="S10" s="158" t="s">
        <v>294</v>
      </c>
      <c r="T10" s="158" t="s">
        <v>278</v>
      </c>
      <c r="U10" s="158" t="s">
        <v>295</v>
      </c>
      <c r="V10" s="145" t="s">
        <v>32</v>
      </c>
    </row>
    <row r="11" spans="1:22" s="135" customFormat="1" x14ac:dyDescent="0.2">
      <c r="A11" s="145" t="s">
        <v>32</v>
      </c>
      <c r="B11" s="158" t="s">
        <v>296</v>
      </c>
      <c r="C11" s="158" t="s">
        <v>296</v>
      </c>
      <c r="D11" s="158" t="s">
        <v>296</v>
      </c>
      <c r="E11" s="158" t="s">
        <v>296</v>
      </c>
      <c r="F11" s="158" t="s">
        <v>296</v>
      </c>
      <c r="G11" s="158" t="s">
        <v>296</v>
      </c>
      <c r="H11" s="158" t="s">
        <v>296</v>
      </c>
      <c r="I11" s="158" t="s">
        <v>296</v>
      </c>
      <c r="J11" s="158" t="s">
        <v>296</v>
      </c>
      <c r="K11" s="158" t="s">
        <v>296</v>
      </c>
      <c r="L11" s="158" t="s">
        <v>296</v>
      </c>
      <c r="M11" s="158" t="s">
        <v>296</v>
      </c>
      <c r="N11" s="158" t="s">
        <v>296</v>
      </c>
      <c r="O11" s="158" t="s">
        <v>296</v>
      </c>
      <c r="P11" s="158" t="s">
        <v>296</v>
      </c>
      <c r="Q11" s="158" t="s">
        <v>296</v>
      </c>
      <c r="R11" s="158" t="s">
        <v>296</v>
      </c>
      <c r="S11" s="158" t="s">
        <v>296</v>
      </c>
      <c r="T11" s="158" t="s">
        <v>296</v>
      </c>
      <c r="U11" s="158" t="s">
        <v>296</v>
      </c>
      <c r="V11" s="158" t="s">
        <v>297</v>
      </c>
    </row>
    <row r="12" spans="1:22" s="135" customFormat="1" x14ac:dyDescent="0.2">
      <c r="A12" s="145" t="s">
        <v>32</v>
      </c>
      <c r="B12" s="159" t="s">
        <v>484</v>
      </c>
      <c r="C12" s="159" t="s">
        <v>484</v>
      </c>
      <c r="D12" s="159" t="s">
        <v>484</v>
      </c>
      <c r="E12" s="159" t="s">
        <v>484</v>
      </c>
      <c r="F12" s="159" t="s">
        <v>484</v>
      </c>
      <c r="G12" s="159" t="s">
        <v>484</v>
      </c>
      <c r="H12" s="159" t="s">
        <v>484</v>
      </c>
      <c r="I12" s="159" t="s">
        <v>484</v>
      </c>
      <c r="J12" s="159" t="s">
        <v>484</v>
      </c>
      <c r="K12" s="159" t="s">
        <v>484</v>
      </c>
      <c r="L12" s="159" t="s">
        <v>484</v>
      </c>
      <c r="M12" s="159" t="s">
        <v>484</v>
      </c>
      <c r="N12" s="159" t="s">
        <v>484</v>
      </c>
      <c r="O12" s="159" t="s">
        <v>484</v>
      </c>
      <c r="P12" s="159" t="s">
        <v>484</v>
      </c>
      <c r="Q12" s="159" t="s">
        <v>484</v>
      </c>
      <c r="R12" s="159" t="s">
        <v>484</v>
      </c>
      <c r="S12" s="159" t="s">
        <v>484</v>
      </c>
      <c r="T12" s="159" t="s">
        <v>484</v>
      </c>
      <c r="U12" s="159" t="s">
        <v>484</v>
      </c>
      <c r="V12" s="159" t="s">
        <v>484</v>
      </c>
    </row>
    <row r="13" spans="1:22" s="135" customFormat="1" x14ac:dyDescent="0.2">
      <c r="A13" s="160" t="s">
        <v>32</v>
      </c>
      <c r="B13" s="161" t="s">
        <v>171</v>
      </c>
      <c r="C13" s="161" t="s">
        <v>171</v>
      </c>
      <c r="D13" s="161" t="s">
        <v>171</v>
      </c>
      <c r="E13" s="161" t="s">
        <v>171</v>
      </c>
      <c r="F13" s="161" t="s">
        <v>171</v>
      </c>
      <c r="G13" s="161" t="s">
        <v>171</v>
      </c>
      <c r="H13" s="161" t="s">
        <v>171</v>
      </c>
      <c r="I13" s="161" t="s">
        <v>171</v>
      </c>
      <c r="J13" s="161" t="s">
        <v>171</v>
      </c>
      <c r="K13" s="161" t="s">
        <v>171</v>
      </c>
      <c r="L13" s="161" t="s">
        <v>171</v>
      </c>
      <c r="M13" s="161" t="s">
        <v>171</v>
      </c>
      <c r="N13" s="161" t="s">
        <v>171</v>
      </c>
      <c r="O13" s="161" t="s">
        <v>171</v>
      </c>
      <c r="P13" s="161" t="s">
        <v>171</v>
      </c>
      <c r="Q13" s="161" t="s">
        <v>171</v>
      </c>
      <c r="R13" s="161" t="s">
        <v>171</v>
      </c>
      <c r="S13" s="161" t="s">
        <v>171</v>
      </c>
      <c r="T13" s="161" t="s">
        <v>171</v>
      </c>
      <c r="U13" s="161" t="s">
        <v>171</v>
      </c>
      <c r="V13" s="161" t="s">
        <v>171</v>
      </c>
    </row>
    <row r="14" spans="1:22" x14ac:dyDescent="0.2">
      <c r="A14" s="147" t="s">
        <v>172</v>
      </c>
      <c r="B14" s="147" t="s">
        <v>72</v>
      </c>
      <c r="C14" s="147" t="s">
        <v>72</v>
      </c>
      <c r="D14" s="147" t="s">
        <v>72</v>
      </c>
      <c r="E14" s="147" t="s">
        <v>72</v>
      </c>
      <c r="F14" s="147" t="s">
        <v>72</v>
      </c>
      <c r="G14" s="147" t="s">
        <v>72</v>
      </c>
      <c r="H14" s="147" t="s">
        <v>72</v>
      </c>
      <c r="I14" s="147" t="s">
        <v>72</v>
      </c>
      <c r="J14" s="147" t="s">
        <v>72</v>
      </c>
      <c r="K14" s="147" t="s">
        <v>72</v>
      </c>
      <c r="L14" s="147" t="s">
        <v>72</v>
      </c>
      <c r="M14" s="147" t="s">
        <v>72</v>
      </c>
      <c r="N14" s="147" t="s">
        <v>72</v>
      </c>
      <c r="O14" s="147" t="s">
        <v>72</v>
      </c>
      <c r="P14" s="147" t="s">
        <v>72</v>
      </c>
      <c r="Q14" s="147" t="s">
        <v>72</v>
      </c>
      <c r="R14" s="147" t="s">
        <v>72</v>
      </c>
      <c r="S14" s="147" t="s">
        <v>72</v>
      </c>
      <c r="T14" s="147" t="s">
        <v>72</v>
      </c>
      <c r="U14" s="147" t="s">
        <v>72</v>
      </c>
      <c r="V14" s="147" t="s">
        <v>72</v>
      </c>
    </row>
    <row r="15" spans="1:22" x14ac:dyDescent="0.2">
      <c r="A15" s="145" t="s">
        <v>176</v>
      </c>
      <c r="B15" s="145" t="s">
        <v>74</v>
      </c>
      <c r="C15" s="145" t="s">
        <v>74</v>
      </c>
      <c r="D15" s="145" t="s">
        <v>74</v>
      </c>
      <c r="E15" s="145" t="s">
        <v>74</v>
      </c>
      <c r="F15" s="145" t="s">
        <v>74</v>
      </c>
      <c r="G15" s="145" t="s">
        <v>74</v>
      </c>
      <c r="H15" s="145" t="s">
        <v>74</v>
      </c>
      <c r="I15" s="145" t="s">
        <v>74</v>
      </c>
      <c r="J15" s="145" t="s">
        <v>74</v>
      </c>
      <c r="K15" s="145" t="s">
        <v>74</v>
      </c>
      <c r="L15" s="145" t="s">
        <v>74</v>
      </c>
      <c r="M15" s="145" t="s">
        <v>74</v>
      </c>
      <c r="N15" s="145" t="s">
        <v>74</v>
      </c>
      <c r="O15" s="145" t="s">
        <v>74</v>
      </c>
      <c r="P15" s="145" t="s">
        <v>74</v>
      </c>
      <c r="Q15" s="145" t="s">
        <v>74</v>
      </c>
      <c r="R15" s="145" t="s">
        <v>74</v>
      </c>
      <c r="S15" s="145" t="s">
        <v>74</v>
      </c>
      <c r="T15" s="145" t="s">
        <v>74</v>
      </c>
      <c r="U15" s="145" t="s">
        <v>74</v>
      </c>
      <c r="V15" s="145" t="s">
        <v>74</v>
      </c>
    </row>
    <row r="16" spans="1:22" x14ac:dyDescent="0.2">
      <c r="A16" s="145" t="s">
        <v>181</v>
      </c>
      <c r="B16" s="145" t="s">
        <v>178</v>
      </c>
      <c r="C16" s="145" t="s">
        <v>178</v>
      </c>
      <c r="D16" s="145" t="s">
        <v>178</v>
      </c>
      <c r="E16" s="145" t="s">
        <v>178</v>
      </c>
      <c r="F16" s="145" t="s">
        <v>178</v>
      </c>
      <c r="G16" s="145" t="s">
        <v>178</v>
      </c>
      <c r="H16" s="145" t="s">
        <v>178</v>
      </c>
      <c r="I16" s="145" t="s">
        <v>178</v>
      </c>
      <c r="J16" s="145" t="s">
        <v>178</v>
      </c>
      <c r="K16" s="145" t="s">
        <v>178</v>
      </c>
      <c r="L16" s="145" t="s">
        <v>178</v>
      </c>
      <c r="M16" s="145" t="s">
        <v>178</v>
      </c>
      <c r="N16" s="145" t="s">
        <v>178</v>
      </c>
      <c r="O16" s="145" t="s">
        <v>178</v>
      </c>
      <c r="P16" s="145" t="s">
        <v>178</v>
      </c>
      <c r="Q16" s="145" t="s">
        <v>178</v>
      </c>
      <c r="R16" s="145" t="s">
        <v>178</v>
      </c>
      <c r="S16" s="145" t="s">
        <v>178</v>
      </c>
      <c r="T16" s="145" t="s">
        <v>178</v>
      </c>
      <c r="U16" s="145" t="s">
        <v>178</v>
      </c>
      <c r="V16" s="145" t="s">
        <v>178</v>
      </c>
    </row>
    <row r="17" spans="1:22" x14ac:dyDescent="0.2">
      <c r="A17" s="145" t="s">
        <v>190</v>
      </c>
      <c r="B17" s="162">
        <v>176436</v>
      </c>
      <c r="C17" s="162">
        <v>47205</v>
      </c>
      <c r="D17" s="162">
        <v>20739</v>
      </c>
      <c r="E17" s="162">
        <v>30000</v>
      </c>
      <c r="F17" s="162">
        <v>8333</v>
      </c>
      <c r="G17" s="162">
        <v>25000</v>
      </c>
      <c r="H17" s="162">
        <v>11744</v>
      </c>
      <c r="I17" s="162">
        <v>25000</v>
      </c>
      <c r="J17" s="162">
        <v>12861</v>
      </c>
      <c r="K17" s="162">
        <v>16367</v>
      </c>
      <c r="L17" s="162">
        <v>25728</v>
      </c>
      <c r="M17" s="162">
        <v>25000</v>
      </c>
      <c r="N17" s="162">
        <v>15000</v>
      </c>
      <c r="O17" s="162">
        <v>10000</v>
      </c>
      <c r="P17" s="162">
        <v>26217</v>
      </c>
      <c r="Q17" s="162">
        <v>299195</v>
      </c>
      <c r="R17" s="162">
        <v>0</v>
      </c>
      <c r="S17" s="162">
        <v>475631</v>
      </c>
      <c r="T17" s="162">
        <v>0</v>
      </c>
      <c r="U17" s="162">
        <v>475631</v>
      </c>
      <c r="V17" s="162">
        <v>475631</v>
      </c>
    </row>
    <row r="18" spans="1:22" x14ac:dyDescent="0.2">
      <c r="A18" s="145" t="s">
        <v>192</v>
      </c>
      <c r="B18" s="168">
        <v>176436</v>
      </c>
      <c r="C18" s="168">
        <v>47205</v>
      </c>
      <c r="D18" s="168">
        <v>20739</v>
      </c>
      <c r="E18" s="168">
        <v>30000</v>
      </c>
      <c r="F18" s="168">
        <v>8333</v>
      </c>
      <c r="G18" s="168">
        <v>25000</v>
      </c>
      <c r="H18" s="168">
        <v>11744</v>
      </c>
      <c r="I18" s="168">
        <v>25000</v>
      </c>
      <c r="J18" s="168">
        <v>12861</v>
      </c>
      <c r="K18" s="168">
        <v>16367</v>
      </c>
      <c r="L18" s="168">
        <v>25728</v>
      </c>
      <c r="M18" s="168">
        <v>25000</v>
      </c>
      <c r="N18" s="168">
        <v>15000</v>
      </c>
      <c r="O18" s="168">
        <v>10000</v>
      </c>
      <c r="P18" s="168">
        <v>26217</v>
      </c>
      <c r="Q18" s="168">
        <v>299195</v>
      </c>
      <c r="R18" s="168">
        <v>0</v>
      </c>
      <c r="S18" s="168">
        <v>475631</v>
      </c>
      <c r="T18" s="168">
        <v>0</v>
      </c>
      <c r="U18" s="168">
        <v>475631</v>
      </c>
      <c r="V18" s="168">
        <v>475631</v>
      </c>
    </row>
    <row r="19" spans="1:22" x14ac:dyDescent="0.2">
      <c r="A19" s="145" t="s">
        <v>193</v>
      </c>
      <c r="B19" s="169">
        <v>176436</v>
      </c>
      <c r="C19" s="169">
        <v>47205</v>
      </c>
      <c r="D19" s="169">
        <v>20739</v>
      </c>
      <c r="E19" s="169">
        <v>30000</v>
      </c>
      <c r="F19" s="169">
        <v>8333</v>
      </c>
      <c r="G19" s="169">
        <v>25000</v>
      </c>
      <c r="H19" s="169">
        <v>11744</v>
      </c>
      <c r="I19" s="169">
        <v>25000</v>
      </c>
      <c r="J19" s="169">
        <v>12861</v>
      </c>
      <c r="K19" s="169">
        <v>16367</v>
      </c>
      <c r="L19" s="169">
        <v>25728</v>
      </c>
      <c r="M19" s="169">
        <v>25000</v>
      </c>
      <c r="N19" s="169">
        <v>15000</v>
      </c>
      <c r="O19" s="169">
        <v>10000</v>
      </c>
      <c r="P19" s="169">
        <v>26217</v>
      </c>
      <c r="Q19" s="169">
        <v>299195</v>
      </c>
      <c r="R19" s="169">
        <v>0</v>
      </c>
      <c r="S19" s="169">
        <v>475631</v>
      </c>
      <c r="T19" s="169">
        <v>0</v>
      </c>
      <c r="U19" s="169">
        <v>475631</v>
      </c>
      <c r="V19" s="169">
        <v>475631</v>
      </c>
    </row>
    <row r="20" spans="1:22" x14ac:dyDescent="0.2">
      <c r="A20" s="147" t="s">
        <v>200</v>
      </c>
      <c r="B20" s="164">
        <v>176436</v>
      </c>
      <c r="C20" s="164">
        <v>47205</v>
      </c>
      <c r="D20" s="164">
        <v>20739</v>
      </c>
      <c r="E20" s="164">
        <v>30000</v>
      </c>
      <c r="F20" s="164">
        <v>8333</v>
      </c>
      <c r="G20" s="164">
        <v>25000</v>
      </c>
      <c r="H20" s="164">
        <v>11744</v>
      </c>
      <c r="I20" s="164">
        <v>25000</v>
      </c>
      <c r="J20" s="164">
        <v>12861</v>
      </c>
      <c r="K20" s="164">
        <v>16367</v>
      </c>
      <c r="L20" s="164">
        <v>25728</v>
      </c>
      <c r="M20" s="164">
        <v>25000</v>
      </c>
      <c r="N20" s="164">
        <v>15000</v>
      </c>
      <c r="O20" s="164">
        <v>10000</v>
      </c>
      <c r="P20" s="164">
        <v>26217</v>
      </c>
      <c r="Q20" s="164">
        <v>299195</v>
      </c>
      <c r="R20" s="164">
        <v>0</v>
      </c>
      <c r="S20" s="164">
        <v>475631</v>
      </c>
      <c r="T20" s="164">
        <v>0</v>
      </c>
      <c r="U20" s="164">
        <v>475631</v>
      </c>
      <c r="V20" s="164">
        <v>475631</v>
      </c>
    </row>
    <row r="21" spans="1:22" x14ac:dyDescent="0.2">
      <c r="A21" s="180" t="s">
        <v>32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</row>
    <row r="22" spans="1:22" x14ac:dyDescent="0.2">
      <c r="A22" s="147" t="s">
        <v>201</v>
      </c>
      <c r="B22" s="147" t="s">
        <v>72</v>
      </c>
      <c r="C22" s="147" t="s">
        <v>72</v>
      </c>
      <c r="D22" s="147" t="s">
        <v>72</v>
      </c>
      <c r="E22" s="147" t="s">
        <v>72</v>
      </c>
      <c r="F22" s="147" t="s">
        <v>72</v>
      </c>
      <c r="G22" s="147" t="s">
        <v>72</v>
      </c>
      <c r="H22" s="147" t="s">
        <v>72</v>
      </c>
      <c r="I22" s="147" t="s">
        <v>72</v>
      </c>
      <c r="J22" s="147" t="s">
        <v>72</v>
      </c>
      <c r="K22" s="147" t="s">
        <v>72</v>
      </c>
      <c r="L22" s="147" t="s">
        <v>72</v>
      </c>
      <c r="M22" s="147" t="s">
        <v>72</v>
      </c>
      <c r="N22" s="147" t="s">
        <v>72</v>
      </c>
      <c r="O22" s="147" t="s">
        <v>72</v>
      </c>
      <c r="P22" s="147" t="s">
        <v>72</v>
      </c>
      <c r="Q22" s="147" t="s">
        <v>72</v>
      </c>
      <c r="R22" s="147" t="s">
        <v>72</v>
      </c>
      <c r="S22" s="147" t="s">
        <v>72</v>
      </c>
      <c r="T22" s="147" t="s">
        <v>72</v>
      </c>
      <c r="U22" s="147" t="s">
        <v>72</v>
      </c>
      <c r="V22" s="147" t="s">
        <v>72</v>
      </c>
    </row>
    <row r="23" spans="1:22" x14ac:dyDescent="0.2">
      <c r="A23" s="145" t="s">
        <v>258</v>
      </c>
      <c r="B23" s="145" t="s">
        <v>74</v>
      </c>
      <c r="C23" s="145" t="s">
        <v>74</v>
      </c>
      <c r="D23" s="145" t="s">
        <v>74</v>
      </c>
      <c r="E23" s="145" t="s">
        <v>74</v>
      </c>
      <c r="F23" s="145" t="s">
        <v>74</v>
      </c>
      <c r="G23" s="145" t="s">
        <v>74</v>
      </c>
      <c r="H23" s="145" t="s">
        <v>74</v>
      </c>
      <c r="I23" s="145" t="s">
        <v>74</v>
      </c>
      <c r="J23" s="145" t="s">
        <v>74</v>
      </c>
      <c r="K23" s="145" t="s">
        <v>74</v>
      </c>
      <c r="L23" s="145" t="s">
        <v>74</v>
      </c>
      <c r="M23" s="145" t="s">
        <v>74</v>
      </c>
      <c r="N23" s="145" t="s">
        <v>74</v>
      </c>
      <c r="O23" s="145" t="s">
        <v>74</v>
      </c>
      <c r="P23" s="145" t="s">
        <v>74</v>
      </c>
      <c r="Q23" s="145" t="s">
        <v>74</v>
      </c>
      <c r="R23" s="145" t="s">
        <v>74</v>
      </c>
      <c r="S23" s="145" t="s">
        <v>74</v>
      </c>
      <c r="T23" s="145" t="s">
        <v>74</v>
      </c>
      <c r="U23" s="145" t="s">
        <v>74</v>
      </c>
      <c r="V23" s="145" t="s">
        <v>74</v>
      </c>
    </row>
    <row r="24" spans="1:22" x14ac:dyDescent="0.2">
      <c r="A24" s="145" t="s">
        <v>259</v>
      </c>
      <c r="B24" s="145" t="s">
        <v>178</v>
      </c>
      <c r="C24" s="145" t="s">
        <v>178</v>
      </c>
      <c r="D24" s="145" t="s">
        <v>178</v>
      </c>
      <c r="E24" s="145" t="s">
        <v>178</v>
      </c>
      <c r="F24" s="145" t="s">
        <v>178</v>
      </c>
      <c r="G24" s="145" t="s">
        <v>178</v>
      </c>
      <c r="H24" s="145" t="s">
        <v>178</v>
      </c>
      <c r="I24" s="145" t="s">
        <v>178</v>
      </c>
      <c r="J24" s="145" t="s">
        <v>178</v>
      </c>
      <c r="K24" s="145" t="s">
        <v>178</v>
      </c>
      <c r="L24" s="145" t="s">
        <v>178</v>
      </c>
      <c r="M24" s="145" t="s">
        <v>178</v>
      </c>
      <c r="N24" s="145" t="s">
        <v>178</v>
      </c>
      <c r="O24" s="145" t="s">
        <v>178</v>
      </c>
      <c r="P24" s="145" t="s">
        <v>178</v>
      </c>
      <c r="Q24" s="145" t="s">
        <v>178</v>
      </c>
      <c r="R24" s="145" t="s">
        <v>178</v>
      </c>
      <c r="S24" s="145" t="s">
        <v>178</v>
      </c>
      <c r="T24" s="145" t="s">
        <v>178</v>
      </c>
      <c r="U24" s="145" t="s">
        <v>178</v>
      </c>
      <c r="V24" s="145" t="s">
        <v>178</v>
      </c>
    </row>
    <row r="25" spans="1:22" x14ac:dyDescent="0.2">
      <c r="A25" s="145" t="s">
        <v>260</v>
      </c>
      <c r="B25" s="162">
        <v>0</v>
      </c>
      <c r="C25" s="162">
        <v>0</v>
      </c>
      <c r="D25" s="162">
        <v>0</v>
      </c>
      <c r="E25" s="162">
        <v>0</v>
      </c>
      <c r="F25" s="162">
        <v>0</v>
      </c>
      <c r="G25" s="162">
        <v>0</v>
      </c>
      <c r="H25" s="162">
        <v>0</v>
      </c>
      <c r="I25" s="162">
        <v>0</v>
      </c>
      <c r="J25" s="162">
        <v>0</v>
      </c>
      <c r="K25" s="162">
        <v>0</v>
      </c>
      <c r="L25" s="162">
        <v>0</v>
      </c>
      <c r="M25" s="162">
        <v>0</v>
      </c>
      <c r="N25" s="162">
        <v>0</v>
      </c>
      <c r="O25" s="162">
        <v>0</v>
      </c>
      <c r="P25" s="162">
        <v>0</v>
      </c>
      <c r="Q25" s="162">
        <v>0</v>
      </c>
      <c r="R25" s="162">
        <v>0</v>
      </c>
      <c r="S25" s="162">
        <v>0</v>
      </c>
      <c r="T25" s="162">
        <v>0</v>
      </c>
      <c r="U25" s="162">
        <v>0</v>
      </c>
      <c r="V25" s="162">
        <v>0</v>
      </c>
    </row>
    <row r="26" spans="1:22" x14ac:dyDescent="0.2">
      <c r="A26" s="145" t="s">
        <v>261</v>
      </c>
      <c r="B26" s="168">
        <v>0</v>
      </c>
      <c r="C26" s="168">
        <v>0</v>
      </c>
      <c r="D26" s="168">
        <v>0</v>
      </c>
      <c r="E26" s="168">
        <v>0</v>
      </c>
      <c r="F26" s="168">
        <v>0</v>
      </c>
      <c r="G26" s="168">
        <v>0</v>
      </c>
      <c r="H26" s="168">
        <v>0</v>
      </c>
      <c r="I26" s="168">
        <v>0</v>
      </c>
      <c r="J26" s="168">
        <v>0</v>
      </c>
      <c r="K26" s="168">
        <v>0</v>
      </c>
      <c r="L26" s="168">
        <v>0</v>
      </c>
      <c r="M26" s="168">
        <v>0</v>
      </c>
      <c r="N26" s="168">
        <v>0</v>
      </c>
      <c r="O26" s="168">
        <v>0</v>
      </c>
      <c r="P26" s="168">
        <v>0</v>
      </c>
      <c r="Q26" s="168">
        <v>0</v>
      </c>
      <c r="R26" s="168">
        <v>0</v>
      </c>
      <c r="S26" s="168">
        <v>0</v>
      </c>
      <c r="T26" s="168">
        <v>0</v>
      </c>
      <c r="U26" s="168">
        <v>0</v>
      </c>
      <c r="V26" s="168">
        <v>0</v>
      </c>
    </row>
    <row r="27" spans="1:22" x14ac:dyDescent="0.2">
      <c r="A27" s="145" t="s">
        <v>268</v>
      </c>
      <c r="B27" s="169">
        <v>0</v>
      </c>
      <c r="C27" s="169">
        <v>0</v>
      </c>
      <c r="D27" s="169">
        <v>0</v>
      </c>
      <c r="E27" s="169">
        <v>0</v>
      </c>
      <c r="F27" s="169">
        <v>0</v>
      </c>
      <c r="G27" s="169">
        <v>0</v>
      </c>
      <c r="H27" s="169">
        <v>0</v>
      </c>
      <c r="I27" s="169">
        <v>0</v>
      </c>
      <c r="J27" s="169">
        <v>0</v>
      </c>
      <c r="K27" s="169">
        <v>0</v>
      </c>
      <c r="L27" s="169">
        <v>0</v>
      </c>
      <c r="M27" s="169">
        <v>0</v>
      </c>
      <c r="N27" s="169">
        <v>0</v>
      </c>
      <c r="O27" s="169">
        <v>0</v>
      </c>
      <c r="P27" s="169">
        <v>0</v>
      </c>
      <c r="Q27" s="169">
        <v>0</v>
      </c>
      <c r="R27" s="169">
        <v>0</v>
      </c>
      <c r="S27" s="169">
        <v>0</v>
      </c>
      <c r="T27" s="169">
        <v>0</v>
      </c>
      <c r="U27" s="169">
        <v>0</v>
      </c>
      <c r="V27" s="169">
        <v>0</v>
      </c>
    </row>
    <row r="28" spans="1:22" x14ac:dyDescent="0.2">
      <c r="A28" s="147" t="s">
        <v>275</v>
      </c>
      <c r="B28" s="164">
        <v>0</v>
      </c>
      <c r="C28" s="164">
        <v>0</v>
      </c>
      <c r="D28" s="164">
        <v>0</v>
      </c>
      <c r="E28" s="164">
        <v>0</v>
      </c>
      <c r="F28" s="164">
        <v>0</v>
      </c>
      <c r="G28" s="164">
        <v>0</v>
      </c>
      <c r="H28" s="164">
        <v>0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4">
        <v>0</v>
      </c>
      <c r="V28" s="164">
        <v>0</v>
      </c>
    </row>
    <row r="29" spans="1:22" x14ac:dyDescent="0.2">
      <c r="A29" s="180" t="s">
        <v>32</v>
      </c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</row>
    <row r="30" spans="1:22" x14ac:dyDescent="0.2">
      <c r="A30" s="147" t="s">
        <v>276</v>
      </c>
      <c r="B30" s="165">
        <v>176436</v>
      </c>
      <c r="C30" s="165">
        <v>47205</v>
      </c>
      <c r="D30" s="165">
        <v>20739</v>
      </c>
      <c r="E30" s="165">
        <v>30000</v>
      </c>
      <c r="F30" s="165">
        <v>8333</v>
      </c>
      <c r="G30" s="165">
        <v>25000</v>
      </c>
      <c r="H30" s="165">
        <v>11744</v>
      </c>
      <c r="I30" s="165">
        <v>25000</v>
      </c>
      <c r="J30" s="165">
        <v>12861</v>
      </c>
      <c r="K30" s="165">
        <v>16367</v>
      </c>
      <c r="L30" s="165">
        <v>25728</v>
      </c>
      <c r="M30" s="165">
        <v>25000</v>
      </c>
      <c r="N30" s="165">
        <v>15000</v>
      </c>
      <c r="O30" s="165">
        <v>10000</v>
      </c>
      <c r="P30" s="165">
        <v>26217</v>
      </c>
      <c r="Q30" s="165">
        <v>299195</v>
      </c>
      <c r="R30" s="165">
        <v>0</v>
      </c>
      <c r="S30" s="165">
        <v>475631</v>
      </c>
      <c r="T30" s="165">
        <v>0</v>
      </c>
      <c r="U30" s="165">
        <v>475631</v>
      </c>
      <c r="V30" s="165">
        <v>475631</v>
      </c>
    </row>
    <row r="31" spans="1:22" x14ac:dyDescent="0.2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</row>
    <row r="32" spans="1:22" ht="13.5" thickBot="1" x14ac:dyDescent="0.25">
      <c r="A32" s="147" t="s">
        <v>298</v>
      </c>
      <c r="B32" s="166">
        <v>176436</v>
      </c>
      <c r="C32" s="166">
        <v>47205</v>
      </c>
      <c r="D32" s="166">
        <v>20739</v>
      </c>
      <c r="E32" s="166">
        <v>30000</v>
      </c>
      <c r="F32" s="166">
        <v>8333</v>
      </c>
      <c r="G32" s="166">
        <v>25000</v>
      </c>
      <c r="H32" s="166">
        <v>11744</v>
      </c>
      <c r="I32" s="166">
        <v>25000</v>
      </c>
      <c r="J32" s="166">
        <v>12861</v>
      </c>
      <c r="K32" s="166">
        <v>16367</v>
      </c>
      <c r="L32" s="166">
        <v>25728</v>
      </c>
      <c r="M32" s="166">
        <v>25000</v>
      </c>
      <c r="N32" s="166">
        <v>15000</v>
      </c>
      <c r="O32" s="166">
        <v>10000</v>
      </c>
      <c r="P32" s="166">
        <v>26217</v>
      </c>
      <c r="Q32" s="166">
        <v>299195</v>
      </c>
      <c r="R32" s="166">
        <v>0</v>
      </c>
      <c r="S32" s="166">
        <v>475631</v>
      </c>
      <c r="T32" s="166">
        <v>0</v>
      </c>
      <c r="U32" s="166">
        <v>475631</v>
      </c>
      <c r="V32" s="166">
        <v>475631</v>
      </c>
    </row>
    <row r="33" spans="1:22" ht="15.75" thickTop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</sheetData>
  <mergeCells count="3">
    <mergeCell ref="A21:V21"/>
    <mergeCell ref="A29:V29"/>
    <mergeCell ref="A31:V31"/>
  </mergeCells>
  <pageMargins left="0.75" right="0.75" top="1" bottom="1" header="0.5" footer="0.5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DB4E2"/>
  </sheetPr>
  <dimension ref="A1:V60"/>
  <sheetViews>
    <sheetView workbookViewId="0">
      <pane xSplit="1" ySplit="10" topLeftCell="P35" activePane="bottomRight" state="frozen"/>
      <selection activeCell="Y46" sqref="Y46"/>
      <selection pane="topRight" activeCell="Y46" sqref="Y46"/>
      <selection pane="bottomLeft" activeCell="Y46" sqref="Y46"/>
      <selection pane="bottomRight" activeCell="Y46" sqref="Y46"/>
    </sheetView>
  </sheetViews>
  <sheetFormatPr defaultColWidth="9.140625" defaultRowHeight="12.75" x14ac:dyDescent="0.2"/>
  <cols>
    <col min="1" max="1" width="47" style="6" customWidth="1"/>
    <col min="2" max="4" width="15.85546875" style="6" customWidth="1"/>
    <col min="5" max="5" width="15.85546875" style="22" customWidth="1"/>
    <col min="6" max="6" width="25.140625" style="12" customWidth="1"/>
    <col min="7" max="8" width="25.140625" style="6" customWidth="1"/>
    <col min="9" max="9" width="25.140625" style="22" customWidth="1"/>
    <col min="10" max="10" width="16.42578125" style="12" customWidth="1"/>
    <col min="11" max="12" width="16.42578125" style="6" customWidth="1"/>
    <col min="13" max="13" width="16.42578125" style="22" customWidth="1"/>
    <col min="14" max="14" width="22.42578125" style="12" customWidth="1"/>
    <col min="15" max="16" width="13" style="6" customWidth="1"/>
    <col min="17" max="17" width="15.140625" style="22" customWidth="1"/>
    <col min="18" max="20" width="26.140625" style="6" customWidth="1"/>
    <col min="21" max="21" width="26.140625" style="22" customWidth="1"/>
    <col min="22" max="16384" width="9.140625" style="6"/>
  </cols>
  <sheetData>
    <row r="1" spans="1:22" ht="18" x14ac:dyDescent="0.25">
      <c r="A1" s="30" t="s">
        <v>62</v>
      </c>
      <c r="B1" s="29"/>
      <c r="C1" s="29"/>
      <c r="N1" s="13"/>
    </row>
    <row r="2" spans="1:22" ht="18" x14ac:dyDescent="0.25">
      <c r="A2" s="30" t="s">
        <v>299</v>
      </c>
      <c r="B2" s="29"/>
      <c r="C2" s="29"/>
      <c r="N2" s="13"/>
    </row>
    <row r="3" spans="1:22" ht="18" x14ac:dyDescent="0.25">
      <c r="A3" s="31" t="s">
        <v>494</v>
      </c>
      <c r="B3" s="29"/>
      <c r="C3" s="29"/>
      <c r="N3" s="13"/>
    </row>
    <row r="4" spans="1:22" ht="15" x14ac:dyDescent="0.25">
      <c r="A4" s="124" t="s">
        <v>64</v>
      </c>
      <c r="B4" s="124" t="s">
        <v>65</v>
      </c>
      <c r="C4" s="29"/>
    </row>
    <row r="5" spans="1:22" ht="15" x14ac:dyDescent="0.25">
      <c r="A5" s="124" t="s">
        <v>66</v>
      </c>
      <c r="B5" s="124" t="s">
        <v>484</v>
      </c>
      <c r="C5" s="29"/>
    </row>
    <row r="6" spans="1:22" ht="15" x14ac:dyDescent="0.25">
      <c r="A6" s="124" t="s">
        <v>67</v>
      </c>
      <c r="B6" s="124" t="s">
        <v>300</v>
      </c>
      <c r="C6" s="29"/>
    </row>
    <row r="7" spans="1:22" s="14" customFormat="1" ht="15" x14ac:dyDescent="0.25">
      <c r="A7" s="114" t="s">
        <v>32</v>
      </c>
      <c r="B7" s="29"/>
      <c r="E7" s="23"/>
      <c r="F7" s="15"/>
      <c r="I7" s="23"/>
      <c r="J7" s="15"/>
      <c r="M7" s="23"/>
      <c r="N7" s="15"/>
      <c r="Q7" s="23"/>
      <c r="U7" s="23"/>
    </row>
    <row r="8" spans="1:22" s="14" customFormat="1" x14ac:dyDescent="0.2">
      <c r="A8" s="16" t="s">
        <v>32</v>
      </c>
      <c r="B8" s="16" t="s">
        <v>6</v>
      </c>
      <c r="C8" s="16" t="s">
        <v>6</v>
      </c>
      <c r="D8" s="16" t="s">
        <v>6</v>
      </c>
      <c r="E8" s="24" t="s">
        <v>6</v>
      </c>
      <c r="F8" s="17" t="s">
        <v>301</v>
      </c>
      <c r="G8" s="16" t="s">
        <v>301</v>
      </c>
      <c r="H8" s="16" t="s">
        <v>301</v>
      </c>
      <c r="I8" s="24" t="s">
        <v>301</v>
      </c>
      <c r="J8" s="17" t="s">
        <v>302</v>
      </c>
      <c r="K8" s="16" t="s">
        <v>302</v>
      </c>
      <c r="L8" s="16" t="s">
        <v>302</v>
      </c>
      <c r="M8" s="24" t="s">
        <v>302</v>
      </c>
      <c r="N8" s="17" t="s">
        <v>9</v>
      </c>
      <c r="O8" s="16" t="s">
        <v>9</v>
      </c>
      <c r="P8" s="16" t="s">
        <v>9</v>
      </c>
      <c r="Q8" s="24" t="s">
        <v>9</v>
      </c>
      <c r="R8" s="16" t="s">
        <v>303</v>
      </c>
      <c r="S8" s="16" t="s">
        <v>303</v>
      </c>
      <c r="T8" s="16" t="s">
        <v>303</v>
      </c>
      <c r="U8" s="24" t="s">
        <v>303</v>
      </c>
    </row>
    <row r="9" spans="1:22" s="14" customFormat="1" x14ac:dyDescent="0.2">
      <c r="A9" s="16" t="s">
        <v>32</v>
      </c>
      <c r="B9" s="16" t="s">
        <v>304</v>
      </c>
      <c r="C9" s="16" t="s">
        <v>305</v>
      </c>
      <c r="D9" s="16" t="s">
        <v>305</v>
      </c>
      <c r="E9" s="24" t="s">
        <v>306</v>
      </c>
      <c r="F9" s="17" t="s">
        <v>304</v>
      </c>
      <c r="G9" s="16" t="s">
        <v>305</v>
      </c>
      <c r="H9" s="16" t="s">
        <v>305</v>
      </c>
      <c r="I9" s="24" t="s">
        <v>306</v>
      </c>
      <c r="J9" s="17" t="s">
        <v>304</v>
      </c>
      <c r="K9" s="16" t="s">
        <v>305</v>
      </c>
      <c r="L9" s="16" t="s">
        <v>305</v>
      </c>
      <c r="M9" s="24" t="s">
        <v>306</v>
      </c>
      <c r="N9" s="17" t="s">
        <v>304</v>
      </c>
      <c r="O9" s="16" t="s">
        <v>305</v>
      </c>
      <c r="P9" s="16" t="s">
        <v>305</v>
      </c>
      <c r="Q9" s="24" t="s">
        <v>306</v>
      </c>
      <c r="R9" s="16" t="s">
        <v>304</v>
      </c>
      <c r="S9" s="16" t="s">
        <v>305</v>
      </c>
      <c r="T9" s="16" t="s">
        <v>305</v>
      </c>
      <c r="U9" s="24" t="s">
        <v>306</v>
      </c>
    </row>
    <row r="10" spans="1:22" s="14" customFormat="1" x14ac:dyDescent="0.2">
      <c r="A10" s="16" t="s">
        <v>32</v>
      </c>
      <c r="B10" s="18" t="s">
        <v>171</v>
      </c>
      <c r="C10" s="18" t="s">
        <v>171</v>
      </c>
      <c r="D10" s="18" t="s">
        <v>307</v>
      </c>
      <c r="E10" s="25" t="s">
        <v>308</v>
      </c>
      <c r="F10" s="19" t="s">
        <v>171</v>
      </c>
      <c r="G10" s="18" t="s">
        <v>171</v>
      </c>
      <c r="H10" s="18" t="s">
        <v>307</v>
      </c>
      <c r="I10" s="25" t="s">
        <v>308</v>
      </c>
      <c r="J10" s="19" t="s">
        <v>171</v>
      </c>
      <c r="K10" s="18" t="s">
        <v>171</v>
      </c>
      <c r="L10" s="18" t="s">
        <v>307</v>
      </c>
      <c r="M10" s="25" t="s">
        <v>308</v>
      </c>
      <c r="N10" s="19" t="s">
        <v>171</v>
      </c>
      <c r="O10" s="18" t="s">
        <v>171</v>
      </c>
      <c r="P10" s="18" t="s">
        <v>307</v>
      </c>
      <c r="Q10" s="25" t="s">
        <v>308</v>
      </c>
      <c r="R10" s="18" t="s">
        <v>171</v>
      </c>
      <c r="S10" s="18" t="s">
        <v>171</v>
      </c>
      <c r="T10" s="18" t="s">
        <v>307</v>
      </c>
      <c r="U10" s="25" t="s">
        <v>308</v>
      </c>
    </row>
    <row r="11" spans="1:22" x14ac:dyDescent="0.2">
      <c r="A11" s="10" t="s">
        <v>32</v>
      </c>
      <c r="B11" s="9" t="s">
        <v>32</v>
      </c>
      <c r="C11" s="9" t="s">
        <v>32</v>
      </c>
      <c r="D11" s="9" t="s">
        <v>32</v>
      </c>
      <c r="E11" s="26" t="s">
        <v>32</v>
      </c>
      <c r="F11" s="20" t="s">
        <v>32</v>
      </c>
      <c r="G11" s="9" t="s">
        <v>32</v>
      </c>
      <c r="H11" s="9" t="s">
        <v>32</v>
      </c>
      <c r="I11" s="26" t="s">
        <v>32</v>
      </c>
      <c r="J11" s="20" t="s">
        <v>32</v>
      </c>
      <c r="K11" s="9" t="s">
        <v>32</v>
      </c>
      <c r="L11" s="9" t="s">
        <v>32</v>
      </c>
      <c r="M11" s="26" t="s">
        <v>32</v>
      </c>
      <c r="N11" s="20" t="s">
        <v>32</v>
      </c>
      <c r="O11" s="9" t="s">
        <v>32</v>
      </c>
      <c r="P11" s="9" t="s">
        <v>32</v>
      </c>
      <c r="Q11" s="26" t="s">
        <v>32</v>
      </c>
      <c r="R11" s="9" t="s">
        <v>32</v>
      </c>
      <c r="S11" s="9" t="s">
        <v>32</v>
      </c>
      <c r="T11" s="9" t="s">
        <v>32</v>
      </c>
      <c r="U11" s="26" t="s">
        <v>32</v>
      </c>
    </row>
    <row r="12" spans="1:22" x14ac:dyDescent="0.2">
      <c r="A12" s="11" t="s">
        <v>309</v>
      </c>
      <c r="B12" s="28" t="s">
        <v>72</v>
      </c>
      <c r="C12" s="28" t="s">
        <v>72</v>
      </c>
      <c r="D12" s="28" t="s">
        <v>72</v>
      </c>
      <c r="E12" s="28" t="s">
        <v>72</v>
      </c>
      <c r="F12" s="28" t="s">
        <v>72</v>
      </c>
      <c r="G12" s="28" t="s">
        <v>72</v>
      </c>
      <c r="H12" s="28" t="s">
        <v>72</v>
      </c>
      <c r="I12" s="28" t="s">
        <v>72</v>
      </c>
      <c r="J12" s="28" t="s">
        <v>72</v>
      </c>
      <c r="K12" s="28" t="s">
        <v>72</v>
      </c>
      <c r="L12" s="28" t="s">
        <v>72</v>
      </c>
      <c r="M12" s="28" t="s">
        <v>72</v>
      </c>
      <c r="N12" s="28" t="s">
        <v>72</v>
      </c>
      <c r="O12" s="28" t="s">
        <v>72</v>
      </c>
      <c r="P12" s="28" t="s">
        <v>72</v>
      </c>
      <c r="Q12" s="28" t="s">
        <v>72</v>
      </c>
      <c r="R12" s="28" t="s">
        <v>72</v>
      </c>
      <c r="S12" s="28" t="s">
        <v>72</v>
      </c>
      <c r="T12" s="28" t="s">
        <v>72</v>
      </c>
      <c r="U12" s="28" t="s">
        <v>72</v>
      </c>
    </row>
    <row r="13" spans="1:22" ht="15" x14ac:dyDescent="0.25">
      <c r="A13" s="11" t="s">
        <v>310</v>
      </c>
      <c r="B13" s="118">
        <v>0</v>
      </c>
      <c r="C13" s="118">
        <v>0</v>
      </c>
      <c r="D13" s="118">
        <v>0</v>
      </c>
      <c r="E13" s="119">
        <v>0</v>
      </c>
      <c r="F13" s="118">
        <v>0</v>
      </c>
      <c r="G13" s="118">
        <v>0</v>
      </c>
      <c r="H13" s="118">
        <v>0</v>
      </c>
      <c r="I13" s="119">
        <v>0</v>
      </c>
      <c r="J13" s="118">
        <v>0</v>
      </c>
      <c r="K13" s="118">
        <v>0</v>
      </c>
      <c r="L13" s="118">
        <v>0</v>
      </c>
      <c r="M13" s="119">
        <v>0</v>
      </c>
      <c r="N13" s="118">
        <v>0</v>
      </c>
      <c r="O13" s="118">
        <v>0</v>
      </c>
      <c r="P13" s="118">
        <v>0</v>
      </c>
      <c r="Q13" s="119">
        <v>0</v>
      </c>
      <c r="R13" s="118">
        <v>0</v>
      </c>
      <c r="S13" s="118">
        <v>0</v>
      </c>
      <c r="T13" s="118">
        <v>0</v>
      </c>
      <c r="U13" s="119">
        <v>0</v>
      </c>
      <c r="V13" s="29"/>
    </row>
    <row r="14" spans="1:22" ht="15" x14ac:dyDescent="0.25">
      <c r="A14" s="11" t="s">
        <v>311</v>
      </c>
      <c r="B14" s="118">
        <v>0</v>
      </c>
      <c r="C14" s="118">
        <v>43795</v>
      </c>
      <c r="D14" s="118">
        <v>43795</v>
      </c>
      <c r="E14" s="119">
        <v>0</v>
      </c>
      <c r="F14" s="118">
        <v>0</v>
      </c>
      <c r="G14" s="118">
        <v>0</v>
      </c>
      <c r="H14" s="118">
        <v>0</v>
      </c>
      <c r="I14" s="119">
        <v>0</v>
      </c>
      <c r="J14" s="118">
        <v>0</v>
      </c>
      <c r="K14" s="118">
        <v>0</v>
      </c>
      <c r="L14" s="118">
        <v>0</v>
      </c>
      <c r="M14" s="119">
        <v>0</v>
      </c>
      <c r="N14" s="118">
        <v>0</v>
      </c>
      <c r="O14" s="118">
        <v>0</v>
      </c>
      <c r="P14" s="118">
        <v>0</v>
      </c>
      <c r="Q14" s="119">
        <v>0</v>
      </c>
      <c r="R14" s="118">
        <v>0</v>
      </c>
      <c r="S14" s="118">
        <v>43795</v>
      </c>
      <c r="T14" s="118">
        <v>43795</v>
      </c>
      <c r="U14" s="119">
        <v>0</v>
      </c>
      <c r="V14" s="29"/>
    </row>
    <row r="15" spans="1:22" ht="15" x14ac:dyDescent="0.25">
      <c r="A15" s="11" t="s">
        <v>309</v>
      </c>
      <c r="B15" s="116">
        <v>0</v>
      </c>
      <c r="C15" s="116">
        <v>43795</v>
      </c>
      <c r="D15" s="116">
        <v>43795</v>
      </c>
      <c r="E15" s="120">
        <v>0</v>
      </c>
      <c r="F15" s="116">
        <v>0</v>
      </c>
      <c r="G15" s="116">
        <v>0</v>
      </c>
      <c r="H15" s="116">
        <v>0</v>
      </c>
      <c r="I15" s="120">
        <v>0</v>
      </c>
      <c r="J15" s="116">
        <v>0</v>
      </c>
      <c r="K15" s="116">
        <v>0</v>
      </c>
      <c r="L15" s="116">
        <v>0</v>
      </c>
      <c r="M15" s="120">
        <v>0</v>
      </c>
      <c r="N15" s="116">
        <v>0</v>
      </c>
      <c r="O15" s="116">
        <v>0</v>
      </c>
      <c r="P15" s="116">
        <v>0</v>
      </c>
      <c r="Q15" s="120">
        <v>0</v>
      </c>
      <c r="R15" s="116">
        <v>0</v>
      </c>
      <c r="S15" s="116">
        <v>43795</v>
      </c>
      <c r="T15" s="116">
        <v>43795</v>
      </c>
      <c r="U15" s="120">
        <v>0</v>
      </c>
      <c r="V15" s="29"/>
    </row>
    <row r="16" spans="1:22" ht="15" x14ac:dyDescent="0.25">
      <c r="A16" s="11" t="s">
        <v>312</v>
      </c>
      <c r="B16" s="121" t="s">
        <v>72</v>
      </c>
      <c r="C16" s="121" t="s">
        <v>72</v>
      </c>
      <c r="D16" s="121" t="s">
        <v>72</v>
      </c>
      <c r="E16" s="121" t="s">
        <v>72</v>
      </c>
      <c r="F16" s="121" t="s">
        <v>72</v>
      </c>
      <c r="G16" s="121" t="s">
        <v>72</v>
      </c>
      <c r="H16" s="121" t="s">
        <v>72</v>
      </c>
      <c r="I16" s="121" t="s">
        <v>72</v>
      </c>
      <c r="J16" s="121" t="s">
        <v>72</v>
      </c>
      <c r="K16" s="121" t="s">
        <v>72</v>
      </c>
      <c r="L16" s="121" t="s">
        <v>72</v>
      </c>
      <c r="M16" s="121" t="s">
        <v>72</v>
      </c>
      <c r="N16" s="121" t="s">
        <v>72</v>
      </c>
      <c r="O16" s="121" t="s">
        <v>72</v>
      </c>
      <c r="P16" s="121" t="s">
        <v>72</v>
      </c>
      <c r="Q16" s="121" t="s">
        <v>72</v>
      </c>
      <c r="R16" s="121" t="s">
        <v>72</v>
      </c>
      <c r="S16" s="121" t="s">
        <v>72</v>
      </c>
      <c r="T16" s="121" t="s">
        <v>72</v>
      </c>
      <c r="U16" s="121" t="s">
        <v>72</v>
      </c>
      <c r="V16" s="29"/>
    </row>
    <row r="17" spans="1:22" ht="15" x14ac:dyDescent="0.25">
      <c r="A17" s="11" t="s">
        <v>313</v>
      </c>
      <c r="B17" s="118">
        <v>1774083</v>
      </c>
      <c r="C17" s="118">
        <v>7371592</v>
      </c>
      <c r="D17" s="118">
        <v>7375386</v>
      </c>
      <c r="E17" s="119">
        <v>5.0000000000000001E-4</v>
      </c>
      <c r="F17" s="118">
        <v>0</v>
      </c>
      <c r="G17" s="118">
        <v>0</v>
      </c>
      <c r="H17" s="118">
        <v>0</v>
      </c>
      <c r="I17" s="119">
        <v>0</v>
      </c>
      <c r="J17" s="118">
        <v>0</v>
      </c>
      <c r="K17" s="118">
        <v>0</v>
      </c>
      <c r="L17" s="118">
        <v>0</v>
      </c>
      <c r="M17" s="119">
        <v>0</v>
      </c>
      <c r="N17" s="118">
        <v>0</v>
      </c>
      <c r="O17" s="118">
        <v>0</v>
      </c>
      <c r="P17" s="118">
        <v>0</v>
      </c>
      <c r="Q17" s="119">
        <v>0</v>
      </c>
      <c r="R17" s="118">
        <v>1774083</v>
      </c>
      <c r="S17" s="118">
        <v>7371592</v>
      </c>
      <c r="T17" s="118">
        <v>7375386</v>
      </c>
      <c r="U17" s="119">
        <v>5.0000000000000001E-4</v>
      </c>
      <c r="V17" s="29"/>
    </row>
    <row r="18" spans="1:22" ht="15" x14ac:dyDescent="0.25">
      <c r="A18" s="34" t="s">
        <v>314</v>
      </c>
      <c r="B18" s="28" t="s">
        <v>74</v>
      </c>
      <c r="C18" s="124" t="s">
        <v>74</v>
      </c>
      <c r="D18" s="124" t="s">
        <v>74</v>
      </c>
      <c r="E18" s="124" t="s">
        <v>74</v>
      </c>
      <c r="F18" s="124" t="s">
        <v>74</v>
      </c>
      <c r="G18" s="124" t="s">
        <v>74</v>
      </c>
      <c r="H18" s="124" t="s">
        <v>74</v>
      </c>
      <c r="I18" s="124" t="s">
        <v>74</v>
      </c>
      <c r="J18" s="28" t="s">
        <v>74</v>
      </c>
      <c r="K18" s="124" t="s">
        <v>74</v>
      </c>
      <c r="L18" s="124" t="s">
        <v>74</v>
      </c>
      <c r="M18" s="124" t="s">
        <v>74</v>
      </c>
      <c r="N18" s="28" t="s">
        <v>74</v>
      </c>
      <c r="O18" s="124" t="s">
        <v>74</v>
      </c>
      <c r="P18" s="124" t="s">
        <v>74</v>
      </c>
      <c r="Q18" s="124" t="s">
        <v>74</v>
      </c>
      <c r="R18" s="124" t="s">
        <v>74</v>
      </c>
      <c r="S18" s="124" t="s">
        <v>74</v>
      </c>
      <c r="T18" s="124" t="s">
        <v>74</v>
      </c>
      <c r="U18" s="124" t="s">
        <v>74</v>
      </c>
      <c r="V18" s="29"/>
    </row>
    <row r="19" spans="1:22" ht="15" x14ac:dyDescent="0.25">
      <c r="A19" s="34" t="s">
        <v>315</v>
      </c>
      <c r="B19" s="118">
        <v>0</v>
      </c>
      <c r="C19" s="131">
        <v>76503</v>
      </c>
      <c r="D19" s="131">
        <v>76503</v>
      </c>
      <c r="E19" s="132">
        <v>0</v>
      </c>
      <c r="F19" s="131">
        <v>0</v>
      </c>
      <c r="G19" s="131">
        <v>0</v>
      </c>
      <c r="H19" s="131">
        <v>0</v>
      </c>
      <c r="I19" s="132">
        <v>0</v>
      </c>
      <c r="J19" s="118">
        <v>0</v>
      </c>
      <c r="K19" s="131">
        <v>0</v>
      </c>
      <c r="L19" s="131">
        <v>0</v>
      </c>
      <c r="M19" s="132">
        <v>0</v>
      </c>
      <c r="N19" s="118">
        <v>0</v>
      </c>
      <c r="O19" s="131">
        <v>0</v>
      </c>
      <c r="P19" s="131">
        <v>0</v>
      </c>
      <c r="Q19" s="132">
        <v>0</v>
      </c>
      <c r="R19" s="131">
        <v>0</v>
      </c>
      <c r="S19" s="131">
        <v>76503</v>
      </c>
      <c r="T19" s="131">
        <v>76503</v>
      </c>
      <c r="U19" s="132">
        <v>0</v>
      </c>
      <c r="V19" s="29"/>
    </row>
    <row r="20" spans="1:22" ht="15" x14ac:dyDescent="0.25">
      <c r="A20" s="34" t="s">
        <v>316</v>
      </c>
      <c r="B20" s="116">
        <v>0</v>
      </c>
      <c r="C20" s="116">
        <v>76503</v>
      </c>
      <c r="D20" s="116">
        <v>76503</v>
      </c>
      <c r="E20" s="120">
        <v>0</v>
      </c>
      <c r="F20" s="116">
        <v>0</v>
      </c>
      <c r="G20" s="116">
        <v>0</v>
      </c>
      <c r="H20" s="116">
        <v>0</v>
      </c>
      <c r="I20" s="120">
        <v>0</v>
      </c>
      <c r="J20" s="116">
        <v>0</v>
      </c>
      <c r="K20" s="116">
        <v>0</v>
      </c>
      <c r="L20" s="116">
        <v>0</v>
      </c>
      <c r="M20" s="120">
        <v>0</v>
      </c>
      <c r="N20" s="116">
        <v>0</v>
      </c>
      <c r="O20" s="116">
        <v>0</v>
      </c>
      <c r="P20" s="116">
        <v>0</v>
      </c>
      <c r="Q20" s="120">
        <v>0</v>
      </c>
      <c r="R20" s="116">
        <v>0</v>
      </c>
      <c r="S20" s="116">
        <v>76503</v>
      </c>
      <c r="T20" s="116">
        <v>76503</v>
      </c>
      <c r="U20" s="120">
        <v>0</v>
      </c>
      <c r="V20" s="29"/>
    </row>
    <row r="21" spans="1:22" ht="15" x14ac:dyDescent="0.25">
      <c r="A21" s="11" t="s">
        <v>317</v>
      </c>
      <c r="B21" s="133">
        <v>0</v>
      </c>
      <c r="C21" s="133">
        <v>0</v>
      </c>
      <c r="D21" s="133">
        <v>0</v>
      </c>
      <c r="E21" s="134">
        <v>0</v>
      </c>
      <c r="F21" s="133">
        <v>0</v>
      </c>
      <c r="G21" s="133">
        <v>0</v>
      </c>
      <c r="H21" s="133">
        <v>0</v>
      </c>
      <c r="I21" s="134">
        <v>0</v>
      </c>
      <c r="J21" s="133">
        <v>0</v>
      </c>
      <c r="K21" s="133">
        <v>0</v>
      </c>
      <c r="L21" s="133">
        <v>0</v>
      </c>
      <c r="M21" s="134">
        <v>0</v>
      </c>
      <c r="N21" s="133">
        <v>201149</v>
      </c>
      <c r="O21" s="133">
        <v>607624</v>
      </c>
      <c r="P21" s="133">
        <v>607296</v>
      </c>
      <c r="Q21" s="134">
        <v>-5.0000000000000001E-4</v>
      </c>
      <c r="R21" s="133">
        <v>201149</v>
      </c>
      <c r="S21" s="133">
        <v>607624</v>
      </c>
      <c r="T21" s="133">
        <v>607296</v>
      </c>
      <c r="U21" s="134">
        <v>-5.0000000000000001E-4</v>
      </c>
      <c r="V21" s="29"/>
    </row>
    <row r="22" spans="1:22" ht="15" x14ac:dyDescent="0.25">
      <c r="A22" s="11" t="s">
        <v>318</v>
      </c>
      <c r="B22" s="118">
        <v>270</v>
      </c>
      <c r="C22" s="118">
        <v>900</v>
      </c>
      <c r="D22" s="118">
        <v>3000</v>
      </c>
      <c r="E22" s="119">
        <v>0.7</v>
      </c>
      <c r="F22" s="118">
        <v>0</v>
      </c>
      <c r="G22" s="118">
        <v>0</v>
      </c>
      <c r="H22" s="118">
        <v>0</v>
      </c>
      <c r="I22" s="119">
        <v>0</v>
      </c>
      <c r="J22" s="118">
        <v>0</v>
      </c>
      <c r="K22" s="118">
        <v>0</v>
      </c>
      <c r="L22" s="118">
        <v>0</v>
      </c>
      <c r="M22" s="119">
        <v>0</v>
      </c>
      <c r="N22" s="118">
        <v>0</v>
      </c>
      <c r="O22" s="118">
        <v>0</v>
      </c>
      <c r="P22" s="118">
        <v>0</v>
      </c>
      <c r="Q22" s="119">
        <v>0</v>
      </c>
      <c r="R22" s="118">
        <v>270</v>
      </c>
      <c r="S22" s="118">
        <v>900</v>
      </c>
      <c r="T22" s="118">
        <v>3000</v>
      </c>
      <c r="U22" s="119">
        <v>0.7</v>
      </c>
      <c r="V22" s="29"/>
    </row>
    <row r="23" spans="1:22" ht="15" x14ac:dyDescent="0.25">
      <c r="A23" s="11" t="s">
        <v>312</v>
      </c>
      <c r="B23" s="116">
        <v>1774353</v>
      </c>
      <c r="C23" s="116">
        <v>7448995</v>
      </c>
      <c r="D23" s="116">
        <v>7454889</v>
      </c>
      <c r="E23" s="120">
        <v>7.000000000000001E-4</v>
      </c>
      <c r="F23" s="116">
        <v>0</v>
      </c>
      <c r="G23" s="116">
        <v>0</v>
      </c>
      <c r="H23" s="116">
        <v>0</v>
      </c>
      <c r="I23" s="120">
        <v>0</v>
      </c>
      <c r="J23" s="116">
        <v>0</v>
      </c>
      <c r="K23" s="116">
        <v>0</v>
      </c>
      <c r="L23" s="116">
        <v>0</v>
      </c>
      <c r="M23" s="120">
        <v>0</v>
      </c>
      <c r="N23" s="116">
        <v>201149</v>
      </c>
      <c r="O23" s="116">
        <v>607624</v>
      </c>
      <c r="P23" s="116">
        <v>607296</v>
      </c>
      <c r="Q23" s="120">
        <v>-5.0000000000000001E-4</v>
      </c>
      <c r="R23" s="116">
        <v>1975502</v>
      </c>
      <c r="S23" s="116">
        <v>8056619</v>
      </c>
      <c r="T23" s="116">
        <v>8062185</v>
      </c>
      <c r="U23" s="120">
        <v>5.9999999999999995E-4</v>
      </c>
      <c r="V23" s="29"/>
    </row>
    <row r="24" spans="1:22" ht="15" x14ac:dyDescent="0.25">
      <c r="A24" s="11" t="s">
        <v>319</v>
      </c>
      <c r="B24" s="121" t="s">
        <v>72</v>
      </c>
      <c r="C24" s="121" t="s">
        <v>72</v>
      </c>
      <c r="D24" s="121" t="s">
        <v>72</v>
      </c>
      <c r="E24" s="121" t="s">
        <v>72</v>
      </c>
      <c r="F24" s="121" t="s">
        <v>72</v>
      </c>
      <c r="G24" s="121" t="s">
        <v>72</v>
      </c>
      <c r="H24" s="121" t="s">
        <v>72</v>
      </c>
      <c r="I24" s="121" t="s">
        <v>72</v>
      </c>
      <c r="J24" s="121" t="s">
        <v>72</v>
      </c>
      <c r="K24" s="121" t="s">
        <v>72</v>
      </c>
      <c r="L24" s="121" t="s">
        <v>72</v>
      </c>
      <c r="M24" s="121" t="s">
        <v>72</v>
      </c>
      <c r="N24" s="121" t="s">
        <v>72</v>
      </c>
      <c r="O24" s="121" t="s">
        <v>72</v>
      </c>
      <c r="P24" s="121" t="s">
        <v>72</v>
      </c>
      <c r="Q24" s="121" t="s">
        <v>72</v>
      </c>
      <c r="R24" s="121" t="s">
        <v>72</v>
      </c>
      <c r="S24" s="121" t="s">
        <v>72</v>
      </c>
      <c r="T24" s="121" t="s">
        <v>72</v>
      </c>
      <c r="U24" s="121" t="s">
        <v>72</v>
      </c>
      <c r="V24" s="29"/>
    </row>
    <row r="25" spans="1:22" ht="15" x14ac:dyDescent="0.25">
      <c r="A25" s="11" t="s">
        <v>320</v>
      </c>
      <c r="B25" s="118">
        <v>990942</v>
      </c>
      <c r="C25" s="118">
        <v>3498557</v>
      </c>
      <c r="D25" s="118">
        <v>3543770</v>
      </c>
      <c r="E25" s="119">
        <v>0.01</v>
      </c>
      <c r="F25" s="118">
        <v>0</v>
      </c>
      <c r="G25" s="118">
        <v>0</v>
      </c>
      <c r="H25" s="118">
        <v>0</v>
      </c>
      <c r="I25" s="119">
        <v>0</v>
      </c>
      <c r="J25" s="118">
        <v>0</v>
      </c>
      <c r="K25" s="118">
        <v>0</v>
      </c>
      <c r="L25" s="118">
        <v>0</v>
      </c>
      <c r="M25" s="119">
        <v>0</v>
      </c>
      <c r="N25" s="118">
        <v>0</v>
      </c>
      <c r="O25" s="118">
        <v>0</v>
      </c>
      <c r="P25" s="118">
        <v>0</v>
      </c>
      <c r="Q25" s="119">
        <v>0</v>
      </c>
      <c r="R25" s="118">
        <v>990942</v>
      </c>
      <c r="S25" s="118">
        <v>3498557</v>
      </c>
      <c r="T25" s="118">
        <v>3543770</v>
      </c>
      <c r="U25" s="119">
        <v>0.01</v>
      </c>
      <c r="V25" s="29"/>
    </row>
    <row r="26" spans="1:22" ht="15" x14ac:dyDescent="0.25">
      <c r="A26" s="11" t="s">
        <v>321</v>
      </c>
      <c r="B26" s="118">
        <v>1245123</v>
      </c>
      <c r="C26" s="118">
        <v>5849754</v>
      </c>
      <c r="D26" s="118">
        <v>1283451</v>
      </c>
      <c r="E26" s="119">
        <v>-3.56</v>
      </c>
      <c r="F26" s="118">
        <v>769</v>
      </c>
      <c r="G26" s="118">
        <v>130963</v>
      </c>
      <c r="H26" s="118">
        <v>246679</v>
      </c>
      <c r="I26" s="119">
        <v>0.47</v>
      </c>
      <c r="J26" s="118">
        <v>0</v>
      </c>
      <c r="K26" s="118">
        <v>0</v>
      </c>
      <c r="L26" s="118">
        <v>0</v>
      </c>
      <c r="M26" s="119">
        <v>0</v>
      </c>
      <c r="N26" s="118">
        <v>0</v>
      </c>
      <c r="O26" s="118">
        <v>182378</v>
      </c>
      <c r="P26" s="118">
        <v>182378</v>
      </c>
      <c r="Q26" s="119">
        <v>0</v>
      </c>
      <c r="R26" s="118">
        <v>1245893</v>
      </c>
      <c r="S26" s="118">
        <v>6163096</v>
      </c>
      <c r="T26" s="118">
        <v>1712508</v>
      </c>
      <c r="U26" s="119">
        <v>-2.6</v>
      </c>
      <c r="V26" s="29"/>
    </row>
    <row r="27" spans="1:22" ht="15" x14ac:dyDescent="0.25">
      <c r="A27" s="11" t="s">
        <v>319</v>
      </c>
      <c r="B27" s="116">
        <v>2236065</v>
      </c>
      <c r="C27" s="116">
        <v>9348311</v>
      </c>
      <c r="D27" s="116">
        <v>4827221</v>
      </c>
      <c r="E27" s="120">
        <v>-0.94</v>
      </c>
      <c r="F27" s="116">
        <v>769</v>
      </c>
      <c r="G27" s="116">
        <v>130963</v>
      </c>
      <c r="H27" s="116">
        <v>246679</v>
      </c>
      <c r="I27" s="120">
        <v>0.47</v>
      </c>
      <c r="J27" s="116">
        <v>0</v>
      </c>
      <c r="K27" s="116">
        <v>0</v>
      </c>
      <c r="L27" s="116">
        <v>0</v>
      </c>
      <c r="M27" s="120">
        <v>0</v>
      </c>
      <c r="N27" s="116">
        <v>0</v>
      </c>
      <c r="O27" s="116">
        <v>182378</v>
      </c>
      <c r="P27" s="116">
        <v>182378</v>
      </c>
      <c r="Q27" s="120">
        <v>0</v>
      </c>
      <c r="R27" s="116">
        <v>2236835</v>
      </c>
      <c r="S27" s="116">
        <v>9661653</v>
      </c>
      <c r="T27" s="116">
        <v>5256278</v>
      </c>
      <c r="U27" s="120">
        <v>-0.84</v>
      </c>
      <c r="V27" s="29"/>
    </row>
    <row r="28" spans="1:22" ht="15" x14ac:dyDescent="0.25">
      <c r="A28" s="11" t="s">
        <v>322</v>
      </c>
      <c r="B28" s="116">
        <v>4010418</v>
      </c>
      <c r="C28" s="116">
        <v>16841101</v>
      </c>
      <c r="D28" s="116">
        <v>12325904</v>
      </c>
      <c r="E28" s="120">
        <v>-0.37</v>
      </c>
      <c r="F28" s="116">
        <v>769</v>
      </c>
      <c r="G28" s="116">
        <v>130963</v>
      </c>
      <c r="H28" s="116">
        <v>246679</v>
      </c>
      <c r="I28" s="120">
        <v>0.47</v>
      </c>
      <c r="J28" s="116">
        <v>0</v>
      </c>
      <c r="K28" s="116">
        <v>0</v>
      </c>
      <c r="L28" s="116">
        <v>0</v>
      </c>
      <c r="M28" s="120">
        <v>0</v>
      </c>
      <c r="N28" s="116">
        <v>201149</v>
      </c>
      <c r="O28" s="116">
        <v>790002</v>
      </c>
      <c r="P28" s="116">
        <v>789674</v>
      </c>
      <c r="Q28" s="120">
        <v>-4.0000000000000002E-4</v>
      </c>
      <c r="R28" s="116">
        <v>4212336</v>
      </c>
      <c r="S28" s="116">
        <v>17762067</v>
      </c>
      <c r="T28" s="116">
        <v>13362257</v>
      </c>
      <c r="U28" s="120">
        <v>-0.33</v>
      </c>
      <c r="V28" s="29"/>
    </row>
    <row r="29" spans="1:22" ht="15" x14ac:dyDescent="0.25">
      <c r="A29" s="8" t="s">
        <v>32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9"/>
    </row>
    <row r="30" spans="1:22" ht="15" x14ac:dyDescent="0.25">
      <c r="A30" s="11" t="s">
        <v>323</v>
      </c>
      <c r="B30" s="118">
        <v>1014032</v>
      </c>
      <c r="C30" s="118">
        <v>3837158</v>
      </c>
      <c r="D30" s="118">
        <v>3570792</v>
      </c>
      <c r="E30" s="119">
        <v>7.0000000000000007E-2</v>
      </c>
      <c r="F30" s="118">
        <v>0</v>
      </c>
      <c r="G30" s="118">
        <v>0</v>
      </c>
      <c r="H30" s="118">
        <v>0</v>
      </c>
      <c r="I30" s="119">
        <v>0</v>
      </c>
      <c r="J30" s="118">
        <v>0</v>
      </c>
      <c r="K30" s="118">
        <v>0</v>
      </c>
      <c r="L30" s="118">
        <v>0</v>
      </c>
      <c r="M30" s="119">
        <v>0</v>
      </c>
      <c r="N30" s="118">
        <v>0</v>
      </c>
      <c r="O30" s="118">
        <v>0</v>
      </c>
      <c r="P30" s="118">
        <v>0</v>
      </c>
      <c r="Q30" s="119">
        <v>0</v>
      </c>
      <c r="R30" s="118">
        <v>1014032</v>
      </c>
      <c r="S30" s="118">
        <v>3837158</v>
      </c>
      <c r="T30" s="118">
        <v>3570792</v>
      </c>
      <c r="U30" s="119">
        <v>7.0000000000000007E-2</v>
      </c>
      <c r="V30" s="29"/>
    </row>
    <row r="31" spans="1:22" ht="15" x14ac:dyDescent="0.25">
      <c r="A31" s="11" t="s">
        <v>324</v>
      </c>
      <c r="B31" s="118">
        <v>95441</v>
      </c>
      <c r="C31" s="118">
        <v>566279</v>
      </c>
      <c r="D31" s="118">
        <v>514660</v>
      </c>
      <c r="E31" s="119">
        <v>0.1</v>
      </c>
      <c r="F31" s="118">
        <v>0</v>
      </c>
      <c r="G31" s="118">
        <v>0</v>
      </c>
      <c r="H31" s="118">
        <v>0</v>
      </c>
      <c r="I31" s="119">
        <v>0</v>
      </c>
      <c r="J31" s="118">
        <v>0</v>
      </c>
      <c r="K31" s="118">
        <v>0</v>
      </c>
      <c r="L31" s="118">
        <v>0</v>
      </c>
      <c r="M31" s="119">
        <v>0</v>
      </c>
      <c r="N31" s="118">
        <v>0</v>
      </c>
      <c r="O31" s="118">
        <v>0</v>
      </c>
      <c r="P31" s="118">
        <v>0</v>
      </c>
      <c r="Q31" s="119">
        <v>0</v>
      </c>
      <c r="R31" s="118">
        <v>95441</v>
      </c>
      <c r="S31" s="118">
        <v>566279</v>
      </c>
      <c r="T31" s="118">
        <v>514660</v>
      </c>
      <c r="U31" s="119">
        <v>0.1</v>
      </c>
      <c r="V31" s="29"/>
    </row>
    <row r="32" spans="1:22" ht="15" x14ac:dyDescent="0.25">
      <c r="A32" s="11" t="s">
        <v>325</v>
      </c>
      <c r="B32" s="118">
        <v>0</v>
      </c>
      <c r="C32" s="118">
        <v>0</v>
      </c>
      <c r="D32" s="118">
        <v>100</v>
      </c>
      <c r="E32" s="119">
        <v>-1</v>
      </c>
      <c r="F32" s="118">
        <v>0</v>
      </c>
      <c r="G32" s="118">
        <v>0</v>
      </c>
      <c r="H32" s="118">
        <v>0</v>
      </c>
      <c r="I32" s="119">
        <v>0</v>
      </c>
      <c r="J32" s="118">
        <v>0</v>
      </c>
      <c r="K32" s="118">
        <v>0</v>
      </c>
      <c r="L32" s="118">
        <v>0</v>
      </c>
      <c r="M32" s="119">
        <v>0</v>
      </c>
      <c r="N32" s="118">
        <v>0</v>
      </c>
      <c r="O32" s="118">
        <v>0</v>
      </c>
      <c r="P32" s="118">
        <v>0</v>
      </c>
      <c r="Q32" s="119">
        <v>0</v>
      </c>
      <c r="R32" s="118">
        <v>0</v>
      </c>
      <c r="S32" s="118">
        <v>0</v>
      </c>
      <c r="T32" s="118">
        <v>100</v>
      </c>
      <c r="U32" s="119">
        <v>-1</v>
      </c>
      <c r="V32" s="29"/>
    </row>
    <row r="33" spans="1:22" ht="15" x14ac:dyDescent="0.25">
      <c r="A33" s="11" t="s">
        <v>326</v>
      </c>
      <c r="B33" s="118">
        <v>4561</v>
      </c>
      <c r="C33" s="118">
        <v>163425</v>
      </c>
      <c r="D33" s="118">
        <v>172543</v>
      </c>
      <c r="E33" s="119">
        <v>-0.05</v>
      </c>
      <c r="F33" s="118">
        <v>0</v>
      </c>
      <c r="G33" s="118">
        <v>0</v>
      </c>
      <c r="H33" s="118">
        <v>0</v>
      </c>
      <c r="I33" s="119">
        <v>0</v>
      </c>
      <c r="J33" s="118">
        <v>0</v>
      </c>
      <c r="K33" s="118">
        <v>0</v>
      </c>
      <c r="L33" s="118">
        <v>0</v>
      </c>
      <c r="M33" s="119">
        <v>0</v>
      </c>
      <c r="N33" s="118">
        <v>0</v>
      </c>
      <c r="O33" s="118">
        <v>0</v>
      </c>
      <c r="P33" s="118">
        <v>0</v>
      </c>
      <c r="Q33" s="119">
        <v>0</v>
      </c>
      <c r="R33" s="118">
        <v>4561</v>
      </c>
      <c r="S33" s="118">
        <v>163425</v>
      </c>
      <c r="T33" s="118">
        <v>172543</v>
      </c>
      <c r="U33" s="119">
        <v>-0.05</v>
      </c>
      <c r="V33" s="29"/>
    </row>
    <row r="34" spans="1:22" ht="15" x14ac:dyDescent="0.25">
      <c r="A34" s="11" t="s">
        <v>327</v>
      </c>
      <c r="B34" s="118">
        <v>0</v>
      </c>
      <c r="C34" s="118">
        <v>0</v>
      </c>
      <c r="D34" s="118">
        <v>1650</v>
      </c>
      <c r="E34" s="119">
        <v>-1</v>
      </c>
      <c r="F34" s="118">
        <v>0</v>
      </c>
      <c r="G34" s="118">
        <v>0</v>
      </c>
      <c r="H34" s="118">
        <v>0</v>
      </c>
      <c r="I34" s="119">
        <v>0</v>
      </c>
      <c r="J34" s="118">
        <v>0</v>
      </c>
      <c r="K34" s="118">
        <v>0</v>
      </c>
      <c r="L34" s="118">
        <v>0</v>
      </c>
      <c r="M34" s="119">
        <v>0</v>
      </c>
      <c r="N34" s="118">
        <v>0</v>
      </c>
      <c r="O34" s="118">
        <v>0</v>
      </c>
      <c r="P34" s="118">
        <v>0</v>
      </c>
      <c r="Q34" s="119">
        <v>0</v>
      </c>
      <c r="R34" s="118">
        <v>0</v>
      </c>
      <c r="S34" s="118">
        <v>0</v>
      </c>
      <c r="T34" s="118">
        <v>1650</v>
      </c>
      <c r="U34" s="119">
        <v>-1</v>
      </c>
      <c r="V34" s="29"/>
    </row>
    <row r="35" spans="1:22" ht="15" x14ac:dyDescent="0.25">
      <c r="A35" s="11" t="s">
        <v>328</v>
      </c>
      <c r="B35" s="118">
        <v>0</v>
      </c>
      <c r="C35" s="118">
        <v>0</v>
      </c>
      <c r="D35" s="118">
        <v>628</v>
      </c>
      <c r="E35" s="119">
        <v>-1</v>
      </c>
      <c r="F35" s="118">
        <v>0</v>
      </c>
      <c r="G35" s="118">
        <v>0</v>
      </c>
      <c r="H35" s="118">
        <v>0</v>
      </c>
      <c r="I35" s="119">
        <v>0</v>
      </c>
      <c r="J35" s="118">
        <v>0</v>
      </c>
      <c r="K35" s="118">
        <v>0</v>
      </c>
      <c r="L35" s="118">
        <v>0</v>
      </c>
      <c r="M35" s="119">
        <v>0</v>
      </c>
      <c r="N35" s="118">
        <v>0</v>
      </c>
      <c r="O35" s="118">
        <v>0</v>
      </c>
      <c r="P35" s="118">
        <v>0</v>
      </c>
      <c r="Q35" s="119">
        <v>0</v>
      </c>
      <c r="R35" s="118">
        <v>0</v>
      </c>
      <c r="S35" s="118">
        <v>0</v>
      </c>
      <c r="T35" s="118">
        <v>628</v>
      </c>
      <c r="U35" s="119">
        <v>-1</v>
      </c>
      <c r="V35" s="29"/>
    </row>
    <row r="36" spans="1:22" ht="15" x14ac:dyDescent="0.25">
      <c r="A36" s="11" t="s">
        <v>329</v>
      </c>
      <c r="B36" s="118">
        <v>74669</v>
      </c>
      <c r="C36" s="118">
        <v>382833</v>
      </c>
      <c r="D36" s="118">
        <v>507996</v>
      </c>
      <c r="E36" s="119">
        <v>-0.25</v>
      </c>
      <c r="F36" s="118">
        <v>0</v>
      </c>
      <c r="G36" s="118">
        <v>0</v>
      </c>
      <c r="H36" s="118">
        <v>0</v>
      </c>
      <c r="I36" s="119">
        <v>0</v>
      </c>
      <c r="J36" s="118">
        <v>0</v>
      </c>
      <c r="K36" s="118">
        <v>0</v>
      </c>
      <c r="L36" s="118">
        <v>0</v>
      </c>
      <c r="M36" s="119">
        <v>0</v>
      </c>
      <c r="N36" s="118">
        <v>0</v>
      </c>
      <c r="O36" s="118">
        <v>0</v>
      </c>
      <c r="P36" s="118">
        <v>0</v>
      </c>
      <c r="Q36" s="119">
        <v>0</v>
      </c>
      <c r="R36" s="118">
        <v>74669</v>
      </c>
      <c r="S36" s="118">
        <v>382833</v>
      </c>
      <c r="T36" s="118">
        <v>507996</v>
      </c>
      <c r="U36" s="119">
        <v>-0.25</v>
      </c>
      <c r="V36" s="29"/>
    </row>
    <row r="37" spans="1:22" ht="15" x14ac:dyDescent="0.25">
      <c r="A37" s="11" t="s">
        <v>330</v>
      </c>
      <c r="B37" s="118">
        <v>4271</v>
      </c>
      <c r="C37" s="118">
        <v>18833</v>
      </c>
      <c r="D37" s="118">
        <v>6430</v>
      </c>
      <c r="E37" s="119">
        <v>1.93</v>
      </c>
      <c r="F37" s="118">
        <v>0</v>
      </c>
      <c r="G37" s="118">
        <v>0</v>
      </c>
      <c r="H37" s="118">
        <v>0</v>
      </c>
      <c r="I37" s="119">
        <v>0</v>
      </c>
      <c r="J37" s="118">
        <v>0</v>
      </c>
      <c r="K37" s="118">
        <v>0</v>
      </c>
      <c r="L37" s="118">
        <v>0</v>
      </c>
      <c r="M37" s="119">
        <v>0</v>
      </c>
      <c r="N37" s="118">
        <v>0</v>
      </c>
      <c r="O37" s="118">
        <v>0</v>
      </c>
      <c r="P37" s="118">
        <v>0</v>
      </c>
      <c r="Q37" s="119">
        <v>0</v>
      </c>
      <c r="R37" s="118">
        <v>4271</v>
      </c>
      <c r="S37" s="118">
        <v>18833</v>
      </c>
      <c r="T37" s="118">
        <v>6430</v>
      </c>
      <c r="U37" s="119">
        <v>1.93</v>
      </c>
      <c r="V37" s="29"/>
    </row>
    <row r="38" spans="1:22" ht="15" x14ac:dyDescent="0.25">
      <c r="A38" s="11" t="s">
        <v>331</v>
      </c>
      <c r="B38" s="118">
        <v>0</v>
      </c>
      <c r="C38" s="118">
        <v>0</v>
      </c>
      <c r="D38" s="118">
        <v>0</v>
      </c>
      <c r="E38" s="119">
        <v>0</v>
      </c>
      <c r="F38" s="118">
        <v>0</v>
      </c>
      <c r="G38" s="118">
        <v>0</v>
      </c>
      <c r="H38" s="118">
        <v>0</v>
      </c>
      <c r="I38" s="119">
        <v>0</v>
      </c>
      <c r="J38" s="118">
        <v>0</v>
      </c>
      <c r="K38" s="118">
        <v>0</v>
      </c>
      <c r="L38" s="118">
        <v>0</v>
      </c>
      <c r="M38" s="119">
        <v>0</v>
      </c>
      <c r="N38" s="118">
        <v>0</v>
      </c>
      <c r="O38" s="118">
        <v>0</v>
      </c>
      <c r="P38" s="118">
        <v>0</v>
      </c>
      <c r="Q38" s="119">
        <v>0</v>
      </c>
      <c r="R38" s="118">
        <v>0</v>
      </c>
      <c r="S38" s="118">
        <v>0</v>
      </c>
      <c r="T38" s="118">
        <v>0</v>
      </c>
      <c r="U38" s="119">
        <v>0</v>
      </c>
      <c r="V38" s="29"/>
    </row>
    <row r="39" spans="1:22" ht="15" x14ac:dyDescent="0.25">
      <c r="A39" s="11" t="s">
        <v>332</v>
      </c>
      <c r="B39" s="118">
        <v>0</v>
      </c>
      <c r="C39" s="118">
        <v>0</v>
      </c>
      <c r="D39" s="118">
        <v>0</v>
      </c>
      <c r="E39" s="119">
        <v>0</v>
      </c>
      <c r="F39" s="118">
        <v>0</v>
      </c>
      <c r="G39" s="118">
        <v>0</v>
      </c>
      <c r="H39" s="118">
        <v>0</v>
      </c>
      <c r="I39" s="119">
        <v>0</v>
      </c>
      <c r="J39" s="118">
        <v>0</v>
      </c>
      <c r="K39" s="118">
        <v>0</v>
      </c>
      <c r="L39" s="118">
        <v>0</v>
      </c>
      <c r="M39" s="119">
        <v>0</v>
      </c>
      <c r="N39" s="118">
        <v>0</v>
      </c>
      <c r="O39" s="118">
        <v>0</v>
      </c>
      <c r="P39" s="118">
        <v>0</v>
      </c>
      <c r="Q39" s="119">
        <v>0</v>
      </c>
      <c r="R39" s="118">
        <v>0</v>
      </c>
      <c r="S39" s="118">
        <v>0</v>
      </c>
      <c r="T39" s="118">
        <v>0</v>
      </c>
      <c r="U39" s="119">
        <v>0</v>
      </c>
      <c r="V39" s="29"/>
    </row>
    <row r="40" spans="1:22" ht="15" x14ac:dyDescent="0.25">
      <c r="A40" s="11" t="s">
        <v>333</v>
      </c>
      <c r="B40" s="118">
        <v>40944</v>
      </c>
      <c r="C40" s="118">
        <v>164862</v>
      </c>
      <c r="D40" s="118">
        <v>152133</v>
      </c>
      <c r="E40" s="119">
        <v>0.08</v>
      </c>
      <c r="F40" s="118">
        <v>0</v>
      </c>
      <c r="G40" s="118">
        <v>0</v>
      </c>
      <c r="H40" s="118">
        <v>0</v>
      </c>
      <c r="I40" s="119">
        <v>0</v>
      </c>
      <c r="J40" s="118">
        <v>0</v>
      </c>
      <c r="K40" s="118">
        <v>0</v>
      </c>
      <c r="L40" s="118">
        <v>0</v>
      </c>
      <c r="M40" s="119">
        <v>0</v>
      </c>
      <c r="N40" s="118">
        <v>0</v>
      </c>
      <c r="O40" s="118">
        <v>0</v>
      </c>
      <c r="P40" s="118">
        <v>0</v>
      </c>
      <c r="Q40" s="119">
        <v>0</v>
      </c>
      <c r="R40" s="118">
        <v>40944</v>
      </c>
      <c r="S40" s="118">
        <v>164862</v>
      </c>
      <c r="T40" s="118">
        <v>152133</v>
      </c>
      <c r="U40" s="119">
        <v>0.08</v>
      </c>
      <c r="V40" s="29"/>
    </row>
    <row r="41" spans="1:22" ht="15" x14ac:dyDescent="0.25">
      <c r="A41" s="11" t="s">
        <v>334</v>
      </c>
      <c r="B41" s="118">
        <v>0</v>
      </c>
      <c r="C41" s="118">
        <v>37439</v>
      </c>
      <c r="D41" s="118">
        <v>37439</v>
      </c>
      <c r="E41" s="119">
        <v>0</v>
      </c>
      <c r="F41" s="118">
        <v>0</v>
      </c>
      <c r="G41" s="118">
        <v>0</v>
      </c>
      <c r="H41" s="118">
        <v>0</v>
      </c>
      <c r="I41" s="119">
        <v>0</v>
      </c>
      <c r="J41" s="118">
        <v>0</v>
      </c>
      <c r="K41" s="118">
        <v>0</v>
      </c>
      <c r="L41" s="118">
        <v>0</v>
      </c>
      <c r="M41" s="119">
        <v>0</v>
      </c>
      <c r="N41" s="118">
        <v>0</v>
      </c>
      <c r="O41" s="118">
        <v>0</v>
      </c>
      <c r="P41" s="118">
        <v>0</v>
      </c>
      <c r="Q41" s="119">
        <v>0</v>
      </c>
      <c r="R41" s="118">
        <v>0</v>
      </c>
      <c r="S41" s="118">
        <v>37439</v>
      </c>
      <c r="T41" s="118">
        <v>37439</v>
      </c>
      <c r="U41" s="119">
        <v>0</v>
      </c>
      <c r="V41" s="29"/>
    </row>
    <row r="42" spans="1:22" ht="15" x14ac:dyDescent="0.25">
      <c r="A42" s="11" t="s">
        <v>335</v>
      </c>
      <c r="B42" s="118">
        <v>0</v>
      </c>
      <c r="C42" s="118">
        <v>0</v>
      </c>
      <c r="D42" s="118">
        <v>0</v>
      </c>
      <c r="E42" s="119">
        <v>0</v>
      </c>
      <c r="F42" s="118">
        <v>0</v>
      </c>
      <c r="G42" s="118">
        <v>0</v>
      </c>
      <c r="H42" s="118">
        <v>0</v>
      </c>
      <c r="I42" s="119">
        <v>0</v>
      </c>
      <c r="J42" s="118">
        <v>0</v>
      </c>
      <c r="K42" s="118">
        <v>0</v>
      </c>
      <c r="L42" s="118">
        <v>0</v>
      </c>
      <c r="M42" s="119">
        <v>0</v>
      </c>
      <c r="N42" s="118">
        <v>0</v>
      </c>
      <c r="O42" s="118">
        <v>0</v>
      </c>
      <c r="P42" s="118">
        <v>0</v>
      </c>
      <c r="Q42" s="119">
        <v>0</v>
      </c>
      <c r="R42" s="118">
        <v>0</v>
      </c>
      <c r="S42" s="118">
        <v>0</v>
      </c>
      <c r="T42" s="118">
        <v>0</v>
      </c>
      <c r="U42" s="119">
        <v>0</v>
      </c>
      <c r="V42" s="29"/>
    </row>
    <row r="43" spans="1:22" ht="15" x14ac:dyDescent="0.25">
      <c r="A43" s="11" t="s">
        <v>336</v>
      </c>
      <c r="B43" s="118">
        <v>51855</v>
      </c>
      <c r="C43" s="118">
        <v>181812</v>
      </c>
      <c r="D43" s="118">
        <v>193635</v>
      </c>
      <c r="E43" s="119">
        <v>-0.06</v>
      </c>
      <c r="F43" s="118">
        <v>0</v>
      </c>
      <c r="G43" s="118">
        <v>0</v>
      </c>
      <c r="H43" s="118">
        <v>0</v>
      </c>
      <c r="I43" s="119">
        <v>0</v>
      </c>
      <c r="J43" s="118">
        <v>0</v>
      </c>
      <c r="K43" s="118">
        <v>0</v>
      </c>
      <c r="L43" s="118">
        <v>0</v>
      </c>
      <c r="M43" s="119">
        <v>0</v>
      </c>
      <c r="N43" s="118">
        <v>0</v>
      </c>
      <c r="O43" s="118">
        <v>0</v>
      </c>
      <c r="P43" s="118">
        <v>0</v>
      </c>
      <c r="Q43" s="119">
        <v>0</v>
      </c>
      <c r="R43" s="118">
        <v>51855</v>
      </c>
      <c r="S43" s="118">
        <v>181812</v>
      </c>
      <c r="T43" s="118">
        <v>193635</v>
      </c>
      <c r="U43" s="119">
        <v>-0.06</v>
      </c>
      <c r="V43" s="29"/>
    </row>
    <row r="44" spans="1:22" ht="15" x14ac:dyDescent="0.25">
      <c r="A44" s="11" t="s">
        <v>337</v>
      </c>
      <c r="B44" s="118">
        <v>0</v>
      </c>
      <c r="C44" s="118">
        <v>0</v>
      </c>
      <c r="D44" s="118">
        <v>0</v>
      </c>
      <c r="E44" s="119">
        <v>0</v>
      </c>
      <c r="F44" s="118">
        <v>0</v>
      </c>
      <c r="G44" s="118">
        <v>0</v>
      </c>
      <c r="H44" s="118">
        <v>0</v>
      </c>
      <c r="I44" s="119">
        <v>0</v>
      </c>
      <c r="J44" s="118">
        <v>0</v>
      </c>
      <c r="K44" s="118">
        <v>0</v>
      </c>
      <c r="L44" s="118">
        <v>0</v>
      </c>
      <c r="M44" s="119">
        <v>0</v>
      </c>
      <c r="N44" s="118">
        <v>0</v>
      </c>
      <c r="O44" s="118">
        <v>0</v>
      </c>
      <c r="P44" s="118">
        <v>0</v>
      </c>
      <c r="Q44" s="119">
        <v>0</v>
      </c>
      <c r="R44" s="118">
        <v>0</v>
      </c>
      <c r="S44" s="118">
        <v>0</v>
      </c>
      <c r="T44" s="118">
        <v>0</v>
      </c>
      <c r="U44" s="119">
        <v>0</v>
      </c>
      <c r="V44" s="29"/>
    </row>
    <row r="45" spans="1:22" ht="15" x14ac:dyDescent="0.25">
      <c r="A45" s="11" t="s">
        <v>338</v>
      </c>
      <c r="B45" s="118">
        <v>181254</v>
      </c>
      <c r="C45" s="118">
        <v>742911</v>
      </c>
      <c r="D45" s="118">
        <v>688298</v>
      </c>
      <c r="E45" s="119">
        <v>0.08</v>
      </c>
      <c r="F45" s="118">
        <v>0</v>
      </c>
      <c r="G45" s="118">
        <v>0</v>
      </c>
      <c r="H45" s="118">
        <v>0</v>
      </c>
      <c r="I45" s="119">
        <v>0</v>
      </c>
      <c r="J45" s="118">
        <v>0</v>
      </c>
      <c r="K45" s="118">
        <v>0</v>
      </c>
      <c r="L45" s="118">
        <v>0</v>
      </c>
      <c r="M45" s="119">
        <v>0</v>
      </c>
      <c r="N45" s="118">
        <v>0</v>
      </c>
      <c r="O45" s="118">
        <v>0</v>
      </c>
      <c r="P45" s="118">
        <v>0</v>
      </c>
      <c r="Q45" s="119">
        <v>0</v>
      </c>
      <c r="R45" s="118">
        <v>181254</v>
      </c>
      <c r="S45" s="118">
        <v>742911</v>
      </c>
      <c r="T45" s="118">
        <v>688298</v>
      </c>
      <c r="U45" s="119">
        <v>0.08</v>
      </c>
      <c r="V45" s="29"/>
    </row>
    <row r="46" spans="1:22" ht="15" x14ac:dyDescent="0.25">
      <c r="A46" s="11" t="s">
        <v>339</v>
      </c>
      <c r="B46" s="118">
        <v>0</v>
      </c>
      <c r="C46" s="118">
        <v>0</v>
      </c>
      <c r="D46" s="118">
        <v>0</v>
      </c>
      <c r="E46" s="119">
        <v>0</v>
      </c>
      <c r="F46" s="118">
        <v>0</v>
      </c>
      <c r="G46" s="118">
        <v>0</v>
      </c>
      <c r="H46" s="118">
        <v>0</v>
      </c>
      <c r="I46" s="119">
        <v>0</v>
      </c>
      <c r="J46" s="118">
        <v>0</v>
      </c>
      <c r="K46" s="118">
        <v>0</v>
      </c>
      <c r="L46" s="118">
        <v>0</v>
      </c>
      <c r="M46" s="119">
        <v>0</v>
      </c>
      <c r="N46" s="118">
        <v>0</v>
      </c>
      <c r="O46" s="118">
        <v>0</v>
      </c>
      <c r="P46" s="118">
        <v>0</v>
      </c>
      <c r="Q46" s="119">
        <v>0</v>
      </c>
      <c r="R46" s="118">
        <v>0</v>
      </c>
      <c r="S46" s="118">
        <v>0</v>
      </c>
      <c r="T46" s="118">
        <v>0</v>
      </c>
      <c r="U46" s="119">
        <v>0</v>
      </c>
      <c r="V46" s="29"/>
    </row>
    <row r="47" spans="1:22" ht="15" x14ac:dyDescent="0.25">
      <c r="A47" s="11" t="s">
        <v>340</v>
      </c>
      <c r="B47" s="118">
        <v>1165248</v>
      </c>
      <c r="C47" s="118">
        <v>5255886</v>
      </c>
      <c r="D47" s="118">
        <v>740966</v>
      </c>
      <c r="E47" s="119">
        <v>6.09</v>
      </c>
      <c r="F47" s="118">
        <v>0</v>
      </c>
      <c r="G47" s="118">
        <v>0</v>
      </c>
      <c r="H47" s="118">
        <v>0</v>
      </c>
      <c r="I47" s="119">
        <v>0</v>
      </c>
      <c r="J47" s="118">
        <v>0</v>
      </c>
      <c r="K47" s="118">
        <v>0</v>
      </c>
      <c r="L47" s="118">
        <v>0</v>
      </c>
      <c r="M47" s="119">
        <v>0</v>
      </c>
      <c r="N47" s="118">
        <v>0</v>
      </c>
      <c r="O47" s="118">
        <v>0</v>
      </c>
      <c r="P47" s="118">
        <v>0</v>
      </c>
      <c r="Q47" s="119">
        <v>0</v>
      </c>
      <c r="R47" s="118">
        <v>1165248</v>
      </c>
      <c r="S47" s="118">
        <v>5255886</v>
      </c>
      <c r="T47" s="118">
        <v>740966</v>
      </c>
      <c r="U47" s="119">
        <v>6.09</v>
      </c>
      <c r="V47" s="29"/>
    </row>
    <row r="48" spans="1:22" ht="15" x14ac:dyDescent="0.25">
      <c r="A48" s="32" t="s">
        <v>341</v>
      </c>
      <c r="B48" s="118">
        <v>82093</v>
      </c>
      <c r="C48" s="118">
        <v>340410</v>
      </c>
      <c r="D48" s="118">
        <v>338320</v>
      </c>
      <c r="E48" s="119">
        <v>0.01</v>
      </c>
      <c r="F48" s="118">
        <v>0</v>
      </c>
      <c r="G48" s="118">
        <v>0</v>
      </c>
      <c r="H48" s="118">
        <v>0</v>
      </c>
      <c r="I48" s="119">
        <v>0</v>
      </c>
      <c r="J48" s="118">
        <v>0</v>
      </c>
      <c r="K48" s="118">
        <v>0</v>
      </c>
      <c r="L48" s="118">
        <v>0</v>
      </c>
      <c r="M48" s="119">
        <v>0</v>
      </c>
      <c r="N48" s="118">
        <v>0</v>
      </c>
      <c r="O48" s="118">
        <v>0</v>
      </c>
      <c r="P48" s="118">
        <v>0</v>
      </c>
      <c r="Q48" s="119">
        <v>0</v>
      </c>
      <c r="R48" s="118">
        <v>82093</v>
      </c>
      <c r="S48" s="118">
        <v>340410</v>
      </c>
      <c r="T48" s="118">
        <v>338320</v>
      </c>
      <c r="U48" s="119">
        <v>0.01</v>
      </c>
      <c r="V48" s="29"/>
    </row>
    <row r="49" spans="1:22" ht="15" x14ac:dyDescent="0.25">
      <c r="A49" s="11" t="s">
        <v>342</v>
      </c>
      <c r="B49" s="118">
        <v>0</v>
      </c>
      <c r="C49" s="118">
        <v>0</v>
      </c>
      <c r="D49" s="118">
        <v>0</v>
      </c>
      <c r="E49" s="119">
        <v>0</v>
      </c>
      <c r="F49" s="118">
        <v>0</v>
      </c>
      <c r="G49" s="118">
        <v>0</v>
      </c>
      <c r="H49" s="118">
        <v>0</v>
      </c>
      <c r="I49" s="119">
        <v>0</v>
      </c>
      <c r="J49" s="118">
        <v>0</v>
      </c>
      <c r="K49" s="118">
        <v>0</v>
      </c>
      <c r="L49" s="118">
        <v>0</v>
      </c>
      <c r="M49" s="119">
        <v>0</v>
      </c>
      <c r="N49" s="118">
        <v>0</v>
      </c>
      <c r="O49" s="118">
        <v>0</v>
      </c>
      <c r="P49" s="118">
        <v>0</v>
      </c>
      <c r="Q49" s="119">
        <v>0</v>
      </c>
      <c r="R49" s="118">
        <v>0</v>
      </c>
      <c r="S49" s="118">
        <v>0</v>
      </c>
      <c r="T49" s="118">
        <v>0</v>
      </c>
      <c r="U49" s="119">
        <v>0</v>
      </c>
      <c r="V49" s="29"/>
    </row>
    <row r="50" spans="1:22" ht="15" x14ac:dyDescent="0.25">
      <c r="A50" s="11" t="s">
        <v>343</v>
      </c>
      <c r="B50" s="118">
        <v>74934</v>
      </c>
      <c r="C50" s="118">
        <v>289620</v>
      </c>
      <c r="D50" s="118">
        <v>249438</v>
      </c>
      <c r="E50" s="119">
        <v>0.16</v>
      </c>
      <c r="F50" s="118">
        <v>0</v>
      </c>
      <c r="G50" s="118">
        <v>0</v>
      </c>
      <c r="H50" s="118">
        <v>0</v>
      </c>
      <c r="I50" s="119">
        <v>0</v>
      </c>
      <c r="J50" s="118">
        <v>0</v>
      </c>
      <c r="K50" s="118">
        <v>0</v>
      </c>
      <c r="L50" s="118">
        <v>0</v>
      </c>
      <c r="M50" s="119">
        <v>0</v>
      </c>
      <c r="N50" s="118">
        <v>0</v>
      </c>
      <c r="O50" s="118">
        <v>0</v>
      </c>
      <c r="P50" s="118">
        <v>0</v>
      </c>
      <c r="Q50" s="119">
        <v>0</v>
      </c>
      <c r="R50" s="118">
        <v>74934</v>
      </c>
      <c r="S50" s="118">
        <v>289620</v>
      </c>
      <c r="T50" s="118">
        <v>249438</v>
      </c>
      <c r="U50" s="119">
        <v>0.16</v>
      </c>
      <c r="V50" s="29"/>
    </row>
    <row r="51" spans="1:22" ht="15" x14ac:dyDescent="0.25">
      <c r="A51" s="11" t="s">
        <v>344</v>
      </c>
      <c r="B51" s="118">
        <v>0</v>
      </c>
      <c r="C51" s="118">
        <v>0</v>
      </c>
      <c r="D51" s="118">
        <v>0</v>
      </c>
      <c r="E51" s="119">
        <v>0</v>
      </c>
      <c r="F51" s="118">
        <v>0</v>
      </c>
      <c r="G51" s="118">
        <v>0</v>
      </c>
      <c r="H51" s="118">
        <v>0</v>
      </c>
      <c r="I51" s="119">
        <v>0</v>
      </c>
      <c r="J51" s="118">
        <v>0</v>
      </c>
      <c r="K51" s="118">
        <v>0</v>
      </c>
      <c r="L51" s="118">
        <v>0</v>
      </c>
      <c r="M51" s="119">
        <v>0</v>
      </c>
      <c r="N51" s="118">
        <v>0</v>
      </c>
      <c r="O51" s="118">
        <v>0</v>
      </c>
      <c r="P51" s="118">
        <v>0</v>
      </c>
      <c r="Q51" s="119">
        <v>0</v>
      </c>
      <c r="R51" s="118">
        <v>0</v>
      </c>
      <c r="S51" s="118">
        <v>0</v>
      </c>
      <c r="T51" s="118">
        <v>0</v>
      </c>
      <c r="U51" s="119">
        <v>0</v>
      </c>
      <c r="V51" s="29"/>
    </row>
    <row r="52" spans="1:22" ht="15" x14ac:dyDescent="0.25">
      <c r="A52" s="11" t="s">
        <v>345</v>
      </c>
      <c r="B52" s="118">
        <v>210640</v>
      </c>
      <c r="C52" s="118">
        <v>912715</v>
      </c>
      <c r="D52" s="118">
        <v>857288</v>
      </c>
      <c r="E52" s="119">
        <v>0.06</v>
      </c>
      <c r="F52" s="118">
        <v>0</v>
      </c>
      <c r="G52" s="118">
        <v>0</v>
      </c>
      <c r="H52" s="118">
        <v>0</v>
      </c>
      <c r="I52" s="119">
        <v>0</v>
      </c>
      <c r="J52" s="118">
        <v>0</v>
      </c>
      <c r="K52" s="118">
        <v>0</v>
      </c>
      <c r="L52" s="118">
        <v>0</v>
      </c>
      <c r="M52" s="119">
        <v>0</v>
      </c>
      <c r="N52" s="118">
        <v>0</v>
      </c>
      <c r="O52" s="118">
        <v>0</v>
      </c>
      <c r="P52" s="118">
        <v>0</v>
      </c>
      <c r="Q52" s="119">
        <v>0</v>
      </c>
      <c r="R52" s="118">
        <v>210640</v>
      </c>
      <c r="S52" s="118">
        <v>912715</v>
      </c>
      <c r="T52" s="118">
        <v>857288</v>
      </c>
      <c r="U52" s="119">
        <v>0.06</v>
      </c>
      <c r="V52" s="29"/>
    </row>
    <row r="53" spans="1:22" ht="15" x14ac:dyDescent="0.25">
      <c r="A53" s="11" t="s">
        <v>346</v>
      </c>
      <c r="B53" s="118">
        <v>153419</v>
      </c>
      <c r="C53" s="118">
        <v>495091</v>
      </c>
      <c r="D53" s="118">
        <v>494888</v>
      </c>
      <c r="E53" s="119">
        <v>4.0000000000000002E-4</v>
      </c>
      <c r="F53" s="118">
        <v>0</v>
      </c>
      <c r="G53" s="118">
        <v>0</v>
      </c>
      <c r="H53" s="118">
        <v>0</v>
      </c>
      <c r="I53" s="119">
        <v>0</v>
      </c>
      <c r="J53" s="118">
        <v>0</v>
      </c>
      <c r="K53" s="118">
        <v>0</v>
      </c>
      <c r="L53" s="118">
        <v>0</v>
      </c>
      <c r="M53" s="119">
        <v>0</v>
      </c>
      <c r="N53" s="118">
        <v>0</v>
      </c>
      <c r="O53" s="118">
        <v>0</v>
      </c>
      <c r="P53" s="118">
        <v>0</v>
      </c>
      <c r="Q53" s="119">
        <v>0</v>
      </c>
      <c r="R53" s="118">
        <v>153419</v>
      </c>
      <c r="S53" s="118">
        <v>495091</v>
      </c>
      <c r="T53" s="118">
        <v>494888</v>
      </c>
      <c r="U53" s="119">
        <v>4.0000000000000002E-4</v>
      </c>
      <c r="V53" s="29"/>
    </row>
    <row r="54" spans="1:22" ht="15" x14ac:dyDescent="0.25">
      <c r="A54" s="32" t="s">
        <v>347</v>
      </c>
      <c r="B54" s="118">
        <v>65214</v>
      </c>
      <c r="C54" s="118">
        <v>388602</v>
      </c>
      <c r="D54" s="118">
        <v>387845</v>
      </c>
      <c r="E54" s="119">
        <v>1.9E-3</v>
      </c>
      <c r="F54" s="118">
        <v>0</v>
      </c>
      <c r="G54" s="118">
        <v>0</v>
      </c>
      <c r="H54" s="118">
        <v>0</v>
      </c>
      <c r="I54" s="119">
        <v>0</v>
      </c>
      <c r="J54" s="118">
        <v>0</v>
      </c>
      <c r="K54" s="118">
        <v>0</v>
      </c>
      <c r="L54" s="118">
        <v>0</v>
      </c>
      <c r="M54" s="119">
        <v>0</v>
      </c>
      <c r="N54" s="118">
        <v>0</v>
      </c>
      <c r="O54" s="118">
        <v>0</v>
      </c>
      <c r="P54" s="118">
        <v>0</v>
      </c>
      <c r="Q54" s="119">
        <v>0</v>
      </c>
      <c r="R54" s="118">
        <v>65214</v>
      </c>
      <c r="S54" s="118">
        <v>388602</v>
      </c>
      <c r="T54" s="118">
        <v>387845</v>
      </c>
      <c r="U54" s="119">
        <v>1.9E-3</v>
      </c>
      <c r="V54" s="29"/>
    </row>
    <row r="55" spans="1:22" ht="15" x14ac:dyDescent="0.25">
      <c r="A55" s="11" t="s">
        <v>348</v>
      </c>
      <c r="B55" s="118">
        <v>884153</v>
      </c>
      <c r="C55" s="118">
        <v>3534676</v>
      </c>
      <c r="D55" s="118">
        <v>3823355</v>
      </c>
      <c r="E55" s="119">
        <v>-0.08</v>
      </c>
      <c r="F55" s="118">
        <v>0</v>
      </c>
      <c r="G55" s="118">
        <v>0</v>
      </c>
      <c r="H55" s="118">
        <v>0</v>
      </c>
      <c r="I55" s="119">
        <v>0</v>
      </c>
      <c r="J55" s="118">
        <v>0</v>
      </c>
      <c r="K55" s="118">
        <v>0</v>
      </c>
      <c r="L55" s="118">
        <v>0</v>
      </c>
      <c r="M55" s="119">
        <v>0</v>
      </c>
      <c r="N55" s="118">
        <v>0</v>
      </c>
      <c r="O55" s="118">
        <v>0</v>
      </c>
      <c r="P55" s="118">
        <v>0</v>
      </c>
      <c r="Q55" s="119">
        <v>0</v>
      </c>
      <c r="R55" s="118">
        <v>884153</v>
      </c>
      <c r="S55" s="118">
        <v>3534676</v>
      </c>
      <c r="T55" s="118">
        <v>3823355</v>
      </c>
      <c r="U55" s="119">
        <v>-0.08</v>
      </c>
      <c r="V55" s="29"/>
    </row>
    <row r="56" spans="1:22" ht="15" x14ac:dyDescent="0.25">
      <c r="A56" s="11" t="s">
        <v>349</v>
      </c>
      <c r="B56" s="117">
        <v>0</v>
      </c>
      <c r="C56" s="117">
        <v>0</v>
      </c>
      <c r="D56" s="117">
        <v>0</v>
      </c>
      <c r="E56" s="122">
        <v>0</v>
      </c>
      <c r="F56" s="117">
        <v>0</v>
      </c>
      <c r="G56" s="117">
        <v>0</v>
      </c>
      <c r="H56" s="117">
        <v>0</v>
      </c>
      <c r="I56" s="122">
        <v>0</v>
      </c>
      <c r="J56" s="117">
        <v>224336</v>
      </c>
      <c r="K56" s="117">
        <v>996230</v>
      </c>
      <c r="L56" s="117">
        <v>1034571</v>
      </c>
      <c r="M56" s="122">
        <v>0.02</v>
      </c>
      <c r="N56" s="117">
        <v>0</v>
      </c>
      <c r="O56" s="117">
        <v>0</v>
      </c>
      <c r="P56" s="117">
        <v>0</v>
      </c>
      <c r="Q56" s="122">
        <v>0</v>
      </c>
      <c r="R56" s="117">
        <v>224336</v>
      </c>
      <c r="S56" s="117">
        <v>996230</v>
      </c>
      <c r="T56" s="117">
        <v>1034571</v>
      </c>
      <c r="U56" s="122">
        <v>0.02</v>
      </c>
      <c r="V56" s="29"/>
    </row>
    <row r="57" spans="1:22" ht="15" x14ac:dyDescent="0.25">
      <c r="A57" s="11" t="s">
        <v>350</v>
      </c>
      <c r="B57" s="116">
        <v>4102729</v>
      </c>
      <c r="C57" s="116">
        <v>17312551</v>
      </c>
      <c r="D57" s="116">
        <v>12738402</v>
      </c>
      <c r="E57" s="120">
        <v>0.36</v>
      </c>
      <c r="F57" s="116">
        <v>0</v>
      </c>
      <c r="G57" s="116">
        <v>0</v>
      </c>
      <c r="H57" s="116">
        <v>0</v>
      </c>
      <c r="I57" s="120">
        <v>0</v>
      </c>
      <c r="J57" s="116">
        <v>224336</v>
      </c>
      <c r="K57" s="116">
        <v>996230</v>
      </c>
      <c r="L57" s="116">
        <v>1034571</v>
      </c>
      <c r="M57" s="120">
        <v>0.02</v>
      </c>
      <c r="N57" s="116">
        <v>0</v>
      </c>
      <c r="O57" s="116">
        <v>0</v>
      </c>
      <c r="P57" s="116">
        <v>0</v>
      </c>
      <c r="Q57" s="120">
        <v>0</v>
      </c>
      <c r="R57" s="116">
        <v>4327064</v>
      </c>
      <c r="S57" s="116">
        <v>18308781</v>
      </c>
      <c r="T57" s="116">
        <v>13772973</v>
      </c>
      <c r="U57" s="120">
        <v>0.33</v>
      </c>
      <c r="V57" s="29"/>
    </row>
    <row r="58" spans="1:22" ht="13.5" thickBot="1" x14ac:dyDescent="0.25">
      <c r="A58" s="7" t="s">
        <v>32</v>
      </c>
      <c r="B58" s="111">
        <v>-92311</v>
      </c>
      <c r="C58" s="111">
        <v>-471449</v>
      </c>
      <c r="D58" s="111">
        <v>-412498</v>
      </c>
      <c r="E58" s="112">
        <v>0.14000000000000001</v>
      </c>
      <c r="F58" s="111">
        <v>769</v>
      </c>
      <c r="G58" s="111">
        <v>130963</v>
      </c>
      <c r="H58" s="111">
        <v>246679</v>
      </c>
      <c r="I58" s="112">
        <v>0.47</v>
      </c>
      <c r="J58" s="111">
        <v>-224336</v>
      </c>
      <c r="K58" s="111">
        <v>-996230</v>
      </c>
      <c r="L58" s="111">
        <v>-1034571</v>
      </c>
      <c r="M58" s="112">
        <v>0.02</v>
      </c>
      <c r="N58" s="111">
        <v>201149</v>
      </c>
      <c r="O58" s="111">
        <v>790002</v>
      </c>
      <c r="P58" s="111">
        <v>789674</v>
      </c>
      <c r="Q58" s="112">
        <v>-4.0000000000000002E-4</v>
      </c>
      <c r="R58" s="111">
        <v>-114728</v>
      </c>
      <c r="S58" s="111">
        <v>-546714</v>
      </c>
      <c r="T58" s="138">
        <v>-410716</v>
      </c>
      <c r="U58" s="112">
        <v>0.48</v>
      </c>
    </row>
    <row r="59" spans="1:22" ht="26.25" thickTop="1" x14ac:dyDescent="0.2">
      <c r="A59" s="11" t="s">
        <v>351</v>
      </c>
      <c r="C59" s="21"/>
      <c r="S59" s="127">
        <f>+S58-'SOA -Intacct'!B165</f>
        <v>0</v>
      </c>
      <c r="T59" s="125" t="s">
        <v>352</v>
      </c>
    </row>
    <row r="60" spans="1:22" x14ac:dyDescent="0.2">
      <c r="S60" s="27" t="s">
        <v>353</v>
      </c>
    </row>
  </sheetData>
  <pageMargins left="0.75" right="0.75" top="1" bottom="1" header="0.5" footer="0.5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62A7D-BDF4-4DAC-A6D8-8122AF25DE72}">
  <sheetPr>
    <tabColor rgb="FF8DB4E2"/>
  </sheetPr>
  <dimension ref="A1:S43"/>
  <sheetViews>
    <sheetView tabSelected="1" view="pageBreakPreview" zoomScaleNormal="100" zoomScaleSheetLayoutView="100" workbookViewId="0">
      <selection sqref="A1:O1"/>
    </sheetView>
  </sheetViews>
  <sheetFormatPr defaultColWidth="9.140625" defaultRowHeight="12.75" x14ac:dyDescent="0.2"/>
  <cols>
    <col min="1" max="1" width="2.140625" style="35" customWidth="1"/>
    <col min="2" max="2" width="31.42578125" style="35" customWidth="1"/>
    <col min="3" max="3" width="10.42578125" style="35" customWidth="1"/>
    <col min="4" max="4" width="1.85546875" style="35" customWidth="1"/>
    <col min="5" max="5" width="14.85546875" style="35" customWidth="1"/>
    <col min="6" max="6" width="1.85546875" style="35" customWidth="1"/>
    <col min="7" max="7" width="14.85546875" style="35" customWidth="1"/>
    <col min="8" max="8" width="1.85546875" style="35" customWidth="1"/>
    <col min="9" max="9" width="14.85546875" style="35" customWidth="1"/>
    <col min="10" max="10" width="1.85546875" style="35" customWidth="1"/>
    <col min="11" max="11" width="14.85546875" style="35" customWidth="1"/>
    <col min="12" max="12" width="1.85546875" style="35" customWidth="1"/>
    <col min="13" max="13" width="14.85546875" style="35" customWidth="1"/>
    <col min="14" max="14" width="1.85546875" style="35" customWidth="1"/>
    <col min="15" max="15" width="14.85546875" style="35" customWidth="1"/>
    <col min="16" max="16" width="12.42578125" style="35" customWidth="1"/>
    <col min="17" max="17" width="14" style="35" customWidth="1"/>
    <col min="18" max="18" width="10.140625" style="35" bestFit="1" customWidth="1"/>
    <col min="19" max="16384" width="9.140625" style="35"/>
  </cols>
  <sheetData>
    <row r="1" spans="1:16" x14ac:dyDescent="0.2">
      <c r="A1" s="170" t="s">
        <v>354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</row>
    <row r="2" spans="1:16" x14ac:dyDescent="0.2">
      <c r="A2" s="170" t="s">
        <v>355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1:16" x14ac:dyDescent="0.2">
      <c r="A3" s="170" t="s">
        <v>356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1:16" x14ac:dyDescent="0.2">
      <c r="A4" s="171">
        <v>46203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</row>
    <row r="5" spans="1:16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</row>
    <row r="6" spans="1:16" x14ac:dyDescent="0.2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9" spans="1:16" ht="38.25" x14ac:dyDescent="0.2">
      <c r="C9" s="95" t="s">
        <v>357</v>
      </c>
      <c r="E9" s="93" t="s">
        <v>6</v>
      </c>
      <c r="F9" s="94"/>
      <c r="G9" s="93" t="s">
        <v>7</v>
      </c>
      <c r="H9" s="94"/>
      <c r="I9" s="93" t="s">
        <v>8</v>
      </c>
      <c r="J9" s="94"/>
      <c r="K9" s="93" t="s">
        <v>9</v>
      </c>
      <c r="L9" s="94"/>
      <c r="M9" s="93" t="s">
        <v>358</v>
      </c>
      <c r="N9" s="94"/>
      <c r="O9" s="93" t="s">
        <v>359</v>
      </c>
    </row>
    <row r="10" spans="1:16" x14ac:dyDescent="0.2">
      <c r="A10" s="42" t="s">
        <v>360</v>
      </c>
      <c r="B10" s="82"/>
      <c r="C10" s="82"/>
      <c r="D10" s="8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16" x14ac:dyDescent="0.2">
      <c r="A11" s="90"/>
      <c r="B11" s="82"/>
      <c r="C11" s="82"/>
      <c r="D11" s="8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16" x14ac:dyDescent="0.2">
      <c r="B12" s="35" t="s">
        <v>361</v>
      </c>
      <c r="C12" s="54">
        <v>1110</v>
      </c>
      <c r="E12" s="40">
        <f>+'SOFP - Intacct Summary'!$B$13</f>
        <v>2135646</v>
      </c>
      <c r="F12" s="89"/>
      <c r="G12" s="40">
        <v>0</v>
      </c>
      <c r="H12" s="89"/>
      <c r="I12" s="69">
        <v>0</v>
      </c>
      <c r="J12" s="89"/>
      <c r="K12" s="40">
        <v>0</v>
      </c>
      <c r="L12" s="69"/>
      <c r="M12" s="69">
        <v>0</v>
      </c>
      <c r="N12" s="89"/>
      <c r="O12" s="69">
        <f t="shared" ref="O12:O17" si="0">E12+G12+I12+K12+M12</f>
        <v>2135646</v>
      </c>
    </row>
    <row r="13" spans="1:16" x14ac:dyDescent="0.2">
      <c r="B13" s="35" t="s">
        <v>362</v>
      </c>
      <c r="C13" s="54">
        <v>1130</v>
      </c>
      <c r="E13" s="40">
        <f>+'SOFP - Intacct Summary'!B15</f>
        <v>43176</v>
      </c>
      <c r="F13" s="89"/>
      <c r="G13" s="69"/>
      <c r="H13" s="89"/>
      <c r="I13" s="69"/>
      <c r="J13" s="89"/>
      <c r="K13" s="40">
        <v>0</v>
      </c>
      <c r="L13" s="69"/>
      <c r="M13" s="69"/>
      <c r="N13" s="89"/>
      <c r="O13" s="40">
        <f t="shared" si="0"/>
        <v>43176</v>
      </c>
    </row>
    <row r="14" spans="1:16" x14ac:dyDescent="0.2">
      <c r="B14" s="35" t="s">
        <v>363</v>
      </c>
      <c r="C14" s="54">
        <v>1140</v>
      </c>
      <c r="E14" s="61"/>
      <c r="F14" s="92"/>
      <c r="G14" s="59"/>
      <c r="H14" s="92"/>
      <c r="I14" s="59"/>
      <c r="J14" s="92"/>
      <c r="K14" s="59"/>
      <c r="L14" s="92"/>
      <c r="M14" s="92"/>
      <c r="N14" s="92"/>
      <c r="O14" s="49">
        <f t="shared" si="0"/>
        <v>0</v>
      </c>
    </row>
    <row r="15" spans="1:16" x14ac:dyDescent="0.2">
      <c r="B15" s="35" t="s">
        <v>13</v>
      </c>
      <c r="C15" s="54">
        <v>1160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>
        <f t="shared" si="0"/>
        <v>0</v>
      </c>
    </row>
    <row r="16" spans="1:16" x14ac:dyDescent="0.2">
      <c r="B16" s="35" t="s">
        <v>15</v>
      </c>
      <c r="C16" s="54">
        <v>1210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>
        <f t="shared" si="0"/>
        <v>0</v>
      </c>
    </row>
    <row r="17" spans="1:19" x14ac:dyDescent="0.2">
      <c r="B17" s="35" t="s">
        <v>14</v>
      </c>
      <c r="C17" s="54" t="s">
        <v>364</v>
      </c>
      <c r="E17" s="40">
        <f>+'SOFP - Intacct Summary'!B17-9045</f>
        <v>199988</v>
      </c>
      <c r="F17" s="40"/>
      <c r="G17" s="40"/>
      <c r="H17" s="40"/>
      <c r="I17" s="40"/>
      <c r="J17" s="40"/>
      <c r="K17" s="40"/>
      <c r="L17" s="40"/>
      <c r="M17" s="40"/>
      <c r="N17" s="40"/>
      <c r="O17" s="40">
        <f t="shared" si="0"/>
        <v>199988</v>
      </c>
    </row>
    <row r="18" spans="1:19" x14ac:dyDescent="0.2">
      <c r="C18" s="54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</row>
    <row r="19" spans="1:19" ht="25.5" customHeight="1" thickBot="1" x14ac:dyDescent="0.25">
      <c r="B19" s="42" t="s">
        <v>16</v>
      </c>
      <c r="C19" s="82"/>
      <c r="D19" s="42"/>
      <c r="E19" s="91">
        <f>SUM(E12:E17)</f>
        <v>2378810</v>
      </c>
      <c r="F19" s="89"/>
      <c r="G19" s="91">
        <f>SUM(G12:G17)</f>
        <v>0</v>
      </c>
      <c r="H19" s="89"/>
      <c r="I19" s="91">
        <f>SUM(I12:I17)</f>
        <v>0</v>
      </c>
      <c r="J19" s="89"/>
      <c r="K19" s="91">
        <f>SUM(K12:K17)</f>
        <v>0</v>
      </c>
      <c r="L19" s="89"/>
      <c r="M19" s="91">
        <f>SUM(M12:M17)</f>
        <v>0</v>
      </c>
      <c r="N19" s="89"/>
      <c r="O19" s="91">
        <f>SUM(O12:O17)</f>
        <v>2378810</v>
      </c>
      <c r="Q19" s="37"/>
      <c r="R19" s="37"/>
      <c r="S19" s="37"/>
    </row>
    <row r="20" spans="1:19" ht="13.5" thickTop="1" x14ac:dyDescent="0.2">
      <c r="A20" s="42"/>
      <c r="B20" s="42"/>
      <c r="C20" s="82"/>
      <c r="D20" s="42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S20" s="37"/>
    </row>
    <row r="21" spans="1:19" x14ac:dyDescent="0.2">
      <c r="A21" s="42" t="s">
        <v>365</v>
      </c>
      <c r="B21" s="82"/>
      <c r="C21" s="82"/>
      <c r="D21" s="82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</row>
    <row r="22" spans="1:19" x14ac:dyDescent="0.2">
      <c r="A22" s="90"/>
      <c r="B22" s="82"/>
      <c r="C22" s="82"/>
      <c r="D22" s="82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</row>
    <row r="23" spans="1:19" x14ac:dyDescent="0.2">
      <c r="A23" s="35" t="s">
        <v>17</v>
      </c>
      <c r="B23" s="82"/>
      <c r="C23" s="82"/>
      <c r="D23" s="82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69"/>
    </row>
    <row r="24" spans="1:19" x14ac:dyDescent="0.2">
      <c r="B24" s="35" t="s">
        <v>366</v>
      </c>
      <c r="C24" s="54">
        <v>2110</v>
      </c>
      <c r="D24" s="82"/>
      <c r="E24" s="40">
        <f>+'SOFP - Intacct Summary'!$B$25</f>
        <v>357956</v>
      </c>
      <c r="F24" s="89"/>
      <c r="G24" s="40"/>
      <c r="H24" s="89"/>
      <c r="I24" s="40"/>
      <c r="J24" s="89"/>
      <c r="K24" s="40"/>
      <c r="L24" s="69"/>
      <c r="M24" s="69"/>
      <c r="N24" s="89"/>
      <c r="O24" s="69">
        <f t="shared" ref="O24:O29" si="1">E24+G24+I24+K24+M24</f>
        <v>357956</v>
      </c>
    </row>
    <row r="25" spans="1:19" x14ac:dyDescent="0.2">
      <c r="B25" s="35" t="s">
        <v>18</v>
      </c>
      <c r="C25" s="54">
        <v>2120</v>
      </c>
      <c r="E25" s="40">
        <f>+'SOFP - Intacct Summary'!$B$27</f>
        <v>74708</v>
      </c>
      <c r="F25" s="89"/>
      <c r="G25" s="40">
        <v>0</v>
      </c>
      <c r="H25" s="89"/>
      <c r="I25" s="40">
        <v>0</v>
      </c>
      <c r="J25" s="89"/>
      <c r="K25" s="40">
        <v>0</v>
      </c>
      <c r="L25" s="69"/>
      <c r="M25" s="69"/>
      <c r="N25" s="89"/>
      <c r="O25" s="40">
        <f t="shared" si="1"/>
        <v>74708</v>
      </c>
    </row>
    <row r="26" spans="1:19" x14ac:dyDescent="0.2">
      <c r="B26" s="35" t="s">
        <v>367</v>
      </c>
      <c r="C26" s="54">
        <v>2160</v>
      </c>
      <c r="E26" s="40"/>
      <c r="F26" s="89"/>
      <c r="G26" s="40"/>
      <c r="H26" s="89"/>
      <c r="I26" s="40"/>
      <c r="J26" s="89"/>
      <c r="K26" s="40"/>
      <c r="L26" s="69"/>
      <c r="M26" s="40"/>
      <c r="N26" s="89"/>
      <c r="O26" s="49">
        <f t="shared" si="1"/>
        <v>0</v>
      </c>
      <c r="P26" s="36">
        <f>O26-O14</f>
        <v>0</v>
      </c>
    </row>
    <row r="27" spans="1:19" x14ac:dyDescent="0.2">
      <c r="B27" s="35" t="s">
        <v>368</v>
      </c>
      <c r="C27" s="54">
        <v>2170</v>
      </c>
      <c r="E27" s="40">
        <f>+'SOFP - Intacct Summary'!$B$31+9045</f>
        <v>0</v>
      </c>
      <c r="F27" s="89"/>
      <c r="G27" s="40"/>
      <c r="H27" s="89"/>
      <c r="I27" s="40"/>
      <c r="J27" s="89"/>
      <c r="K27" s="40"/>
      <c r="L27" s="69"/>
      <c r="M27" s="69"/>
      <c r="N27" s="89"/>
      <c r="O27" s="40">
        <f t="shared" si="1"/>
        <v>0</v>
      </c>
    </row>
    <row r="28" spans="1:19" x14ac:dyDescent="0.2">
      <c r="B28" s="35" t="s">
        <v>369</v>
      </c>
      <c r="C28" s="54">
        <v>2200</v>
      </c>
      <c r="E28" s="40">
        <f>+'SOFP - Intacct Summary'!B29+'SOFP - Intacct Summary'!B33</f>
        <v>36301</v>
      </c>
      <c r="F28" s="89"/>
      <c r="G28" s="40"/>
      <c r="H28" s="89"/>
      <c r="I28" s="40"/>
      <c r="J28" s="89"/>
      <c r="K28" s="40"/>
      <c r="L28" s="69"/>
      <c r="M28" s="69"/>
      <c r="N28" s="89"/>
      <c r="O28" s="40">
        <f t="shared" si="1"/>
        <v>36301</v>
      </c>
    </row>
    <row r="29" spans="1:19" x14ac:dyDescent="0.2">
      <c r="B29" s="35" t="s">
        <v>20</v>
      </c>
      <c r="C29" s="54">
        <v>2630</v>
      </c>
      <c r="E29" s="40">
        <f>+'SOFP - Intacct Summary'!B37</f>
        <v>198162</v>
      </c>
      <c r="F29" s="40"/>
      <c r="G29" s="40"/>
      <c r="H29" s="40"/>
      <c r="I29" s="40"/>
      <c r="J29" s="40"/>
      <c r="K29" s="40"/>
      <c r="L29" s="40"/>
      <c r="M29" s="40"/>
      <c r="N29" s="40"/>
      <c r="O29" s="40">
        <f t="shared" si="1"/>
        <v>198162</v>
      </c>
    </row>
    <row r="30" spans="1:19" x14ac:dyDescent="0.2">
      <c r="C30" s="54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</row>
    <row r="31" spans="1:19" ht="27" customHeight="1" x14ac:dyDescent="0.2">
      <c r="B31" s="42" t="s">
        <v>22</v>
      </c>
      <c r="C31" s="54"/>
      <c r="E31" s="46">
        <f>SUM(E24:E29)</f>
        <v>667127</v>
      </c>
      <c r="F31" s="40"/>
      <c r="G31" s="46">
        <f>SUM(G24:G29)</f>
        <v>0</v>
      </c>
      <c r="H31" s="40"/>
      <c r="I31" s="46">
        <f>SUM(I24:I29)</f>
        <v>0</v>
      </c>
      <c r="J31" s="40"/>
      <c r="K31" s="46">
        <f>SUM(K24:K29)</f>
        <v>0</v>
      </c>
      <c r="L31" s="44"/>
      <c r="M31" s="46">
        <f>SUM(M24:M29)</f>
        <v>0</v>
      </c>
      <c r="N31" s="40"/>
      <c r="O31" s="46">
        <f>SUM(O24:O29)</f>
        <v>667127</v>
      </c>
    </row>
    <row r="32" spans="1:19" x14ac:dyDescent="0.2">
      <c r="C32" s="54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</row>
    <row r="33" spans="1:19" x14ac:dyDescent="0.2">
      <c r="A33" s="35" t="s">
        <v>23</v>
      </c>
      <c r="B33" s="82"/>
      <c r="C33" s="82"/>
      <c r="D33" s="8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</row>
    <row r="34" spans="1:19" ht="15" x14ac:dyDescent="0.2">
      <c r="B34" s="35" t="s">
        <v>370</v>
      </c>
      <c r="C34" s="54">
        <v>2710</v>
      </c>
      <c r="E34" s="69">
        <f>+'SOFP - Intacct Summary'!D17-0.4</f>
        <v>2211.67</v>
      </c>
      <c r="F34" s="89"/>
      <c r="G34" s="69"/>
      <c r="H34" s="89"/>
      <c r="I34" s="69"/>
      <c r="J34" s="89"/>
      <c r="K34" s="69"/>
      <c r="L34" s="69"/>
      <c r="M34" s="69"/>
      <c r="N34" s="89"/>
      <c r="O34" s="69">
        <f>E34+G34+I34+K34+M34</f>
        <v>2211.67</v>
      </c>
      <c r="P34" s="33" t="s">
        <v>371</v>
      </c>
    </row>
    <row r="35" spans="1:19" x14ac:dyDescent="0.2">
      <c r="B35" s="35" t="s">
        <v>372</v>
      </c>
      <c r="C35" s="54">
        <v>2720</v>
      </c>
      <c r="E35" s="128">
        <f>+'Restricted Balances'!V32</f>
        <v>475631</v>
      </c>
      <c r="F35" s="89"/>
      <c r="G35" s="69"/>
      <c r="H35" s="89"/>
      <c r="I35" s="69"/>
      <c r="J35" s="89"/>
      <c r="K35" s="69"/>
      <c r="L35" s="69"/>
      <c r="M35" s="69"/>
      <c r="N35" s="89"/>
      <c r="O35" s="40">
        <f>E35+G35+I35+K35+M35</f>
        <v>475631</v>
      </c>
    </row>
    <row r="36" spans="1:19" x14ac:dyDescent="0.2">
      <c r="B36" s="35" t="s">
        <v>373</v>
      </c>
      <c r="C36" s="54">
        <v>2730</v>
      </c>
      <c r="E36" s="69"/>
      <c r="F36" s="89"/>
      <c r="G36" s="69"/>
      <c r="H36" s="89"/>
      <c r="I36" s="69"/>
      <c r="J36" s="89"/>
      <c r="K36" s="69"/>
      <c r="L36" s="69"/>
      <c r="M36" s="69"/>
      <c r="N36" s="89"/>
      <c r="O36" s="40">
        <f>E36+G36+I36+K36+M36</f>
        <v>0</v>
      </c>
    </row>
    <row r="37" spans="1:19" x14ac:dyDescent="0.2">
      <c r="B37" s="35" t="s">
        <v>374</v>
      </c>
      <c r="C37" s="54">
        <v>2740</v>
      </c>
      <c r="E37" s="69"/>
      <c r="F37" s="89"/>
      <c r="G37" s="69"/>
      <c r="H37" s="89"/>
      <c r="I37" s="69"/>
      <c r="J37" s="89"/>
      <c r="K37" s="69"/>
      <c r="L37" s="69"/>
      <c r="M37" s="69"/>
      <c r="N37" s="89"/>
      <c r="O37" s="40">
        <f>E37+G37+I37+K37+M37</f>
        <v>0</v>
      </c>
    </row>
    <row r="38" spans="1:19" x14ac:dyDescent="0.2">
      <c r="B38" s="35" t="s">
        <v>375</v>
      </c>
      <c r="C38" s="54">
        <v>2750</v>
      </c>
      <c r="E38" s="69">
        <f>+E19-E31-E34-E35-E36-E37</f>
        <v>1233840.33</v>
      </c>
      <c r="F38" s="89"/>
      <c r="G38" s="69"/>
      <c r="H38" s="89"/>
      <c r="I38" s="69"/>
      <c r="J38" s="89"/>
      <c r="K38" s="69"/>
      <c r="L38" s="69"/>
      <c r="M38" s="69"/>
      <c r="N38" s="89"/>
      <c r="O38" s="40">
        <f>E38+G38+I38+K38+M38</f>
        <v>1233840.33</v>
      </c>
    </row>
    <row r="39" spans="1:19" x14ac:dyDescent="0.2"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</row>
    <row r="40" spans="1:19" ht="28.7" customHeight="1" x14ac:dyDescent="0.2">
      <c r="B40" s="42" t="s">
        <v>376</v>
      </c>
      <c r="C40" s="42"/>
      <c r="D40" s="42"/>
      <c r="E40" s="46">
        <f>SUM(E34:E38)</f>
        <v>1711683</v>
      </c>
      <c r="F40" s="40"/>
      <c r="G40" s="46">
        <f>SUM(G34:G38)</f>
        <v>0</v>
      </c>
      <c r="H40" s="40"/>
      <c r="I40" s="46">
        <f>SUM(I34:I38)</f>
        <v>0</v>
      </c>
      <c r="J40" s="40"/>
      <c r="K40" s="46">
        <f>SUM(K34:K38)</f>
        <v>0</v>
      </c>
      <c r="L40" s="44"/>
      <c r="M40" s="46">
        <f>SUM(M34:M38)</f>
        <v>0</v>
      </c>
      <c r="N40" s="40"/>
      <c r="O40" s="46">
        <f>SUM(O34:O38)</f>
        <v>1711683</v>
      </c>
    </row>
    <row r="41" spans="1:19" ht="34.35" customHeight="1" thickBot="1" x14ac:dyDescent="0.25">
      <c r="A41" s="42" t="s">
        <v>377</v>
      </c>
      <c r="E41" s="88">
        <f>E40+E31</f>
        <v>2378810</v>
      </c>
      <c r="F41" s="67"/>
      <c r="G41" s="88">
        <f>G40+G31</f>
        <v>0</v>
      </c>
      <c r="H41" s="67"/>
      <c r="I41" s="88">
        <f>I40+I31</f>
        <v>0</v>
      </c>
      <c r="J41" s="67"/>
      <c r="K41" s="88">
        <f>K40+K31</f>
        <v>0</v>
      </c>
      <c r="L41" s="38"/>
      <c r="M41" s="88">
        <f>M40+M31</f>
        <v>0</v>
      </c>
      <c r="N41" s="67"/>
      <c r="O41" s="88">
        <f>O40+O31</f>
        <v>2378810</v>
      </c>
      <c r="Q41" s="37">
        <f>O19-O41</f>
        <v>0</v>
      </c>
      <c r="S41" s="37"/>
    </row>
    <row r="42" spans="1:19" ht="13.5" thickTop="1" x14ac:dyDescent="0.2">
      <c r="E42" s="37">
        <f>+E19-E41</f>
        <v>0</v>
      </c>
      <c r="G42" s="37">
        <f>+G19-G41</f>
        <v>0</v>
      </c>
      <c r="I42" s="37">
        <f>+I19-I41</f>
        <v>0</v>
      </c>
      <c r="K42" s="37">
        <f>+K19-K41</f>
        <v>0</v>
      </c>
      <c r="M42" s="37">
        <f>+M19-M41</f>
        <v>0</v>
      </c>
      <c r="O42" s="37">
        <f>+O19-O41</f>
        <v>0</v>
      </c>
    </row>
    <row r="43" spans="1:19" x14ac:dyDescent="0.2">
      <c r="E43" s="37"/>
    </row>
  </sheetData>
  <mergeCells count="4">
    <mergeCell ref="A2:O2"/>
    <mergeCell ref="A3:O3"/>
    <mergeCell ref="A4:O4"/>
    <mergeCell ref="A1:O1"/>
  </mergeCells>
  <printOptions horizontalCentered="1"/>
  <pageMargins left="0.45" right="0.45" top="1" bottom="0.75" header="0.3" footer="0.3"/>
  <pageSetup scale="7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66D5-2F7C-4CF0-81E3-6A26832D0693}">
  <sheetPr>
    <tabColor rgb="FF8DB4E2"/>
  </sheetPr>
  <dimension ref="A1:BG86"/>
  <sheetViews>
    <sheetView view="pageBreakPreview" zoomScale="90" zoomScaleNormal="90" zoomScaleSheetLayoutView="90" workbookViewId="0">
      <pane xSplit="6" ySplit="11" topLeftCell="G12" activePane="bottomRight" state="frozen"/>
      <selection activeCell="E18" sqref="E18"/>
      <selection pane="topRight" activeCell="E18" sqref="E18"/>
      <selection pane="bottomLeft" activeCell="E18" sqref="E18"/>
      <selection pane="bottomRight" sqref="A1:U1"/>
    </sheetView>
  </sheetViews>
  <sheetFormatPr defaultColWidth="9.140625" defaultRowHeight="12.75" x14ac:dyDescent="0.2"/>
  <cols>
    <col min="1" max="1" width="1.5703125" style="35" customWidth="1"/>
    <col min="2" max="2" width="28.5703125" style="35" customWidth="1"/>
    <col min="3" max="3" width="9.140625" style="35" customWidth="1"/>
    <col min="4" max="4" width="6.85546875" style="35" customWidth="1"/>
    <col min="5" max="5" width="12.42578125" style="35" customWidth="1"/>
    <col min="6" max="6" width="1.85546875" style="35" customWidth="1"/>
    <col min="7" max="7" width="15.85546875" style="35" customWidth="1"/>
    <col min="8" max="8" width="1.85546875" style="35" customWidth="1"/>
    <col min="9" max="9" width="15.85546875" style="35" customWidth="1"/>
    <col min="10" max="10" width="1.85546875" style="35" customWidth="1"/>
    <col min="11" max="11" width="15.85546875" style="35" customWidth="1"/>
    <col min="12" max="12" width="1.85546875" style="35" customWidth="1"/>
    <col min="13" max="13" width="15.85546875" style="35" customWidth="1"/>
    <col min="14" max="14" width="1.85546875" style="35" customWidth="1"/>
    <col min="15" max="15" width="15.85546875" style="35" customWidth="1"/>
    <col min="16" max="16" width="1.85546875" style="35" customWidth="1"/>
    <col min="17" max="17" width="15.85546875" style="35" customWidth="1"/>
    <col min="18" max="18" width="1.85546875" style="35" customWidth="1"/>
    <col min="19" max="19" width="15.85546875" style="35" customWidth="1"/>
    <col min="20" max="20" width="1.85546875" style="35" customWidth="1"/>
    <col min="21" max="21" width="15.85546875" style="35" customWidth="1"/>
    <col min="22" max="22" width="1.85546875" style="35" customWidth="1"/>
    <col min="23" max="23" width="16.5703125" style="35" customWidth="1"/>
    <col min="24" max="24" width="1.85546875" style="35" hidden="1" customWidth="1"/>
    <col min="25" max="25" width="14.140625" style="35" bestFit="1" customWidth="1"/>
    <col min="26" max="26" width="1.85546875" style="35" hidden="1" customWidth="1"/>
    <col min="27" max="27" width="14.5703125" style="35" bestFit="1" customWidth="1"/>
    <col min="28" max="28" width="1.85546875" style="35" hidden="1" customWidth="1"/>
    <col min="29" max="29" width="14" style="35" bestFit="1" customWidth="1"/>
    <col min="30" max="30" width="2.85546875" style="35" customWidth="1"/>
    <col min="31" max="31" width="14.42578125" style="35" bestFit="1" customWidth="1"/>
    <col min="32" max="32" width="1.85546875" style="35" customWidth="1"/>
    <col min="33" max="33" width="15.85546875" style="35" customWidth="1"/>
    <col min="34" max="34" width="1.85546875" style="35" customWidth="1"/>
    <col min="35" max="35" width="15.85546875" style="35" customWidth="1"/>
    <col min="36" max="36" width="1.85546875" style="35" customWidth="1"/>
    <col min="37" max="37" width="15.85546875" style="35" customWidth="1"/>
    <col min="38" max="38" width="1.85546875" style="35" hidden="1" customWidth="1"/>
    <col min="39" max="39" width="15.85546875" style="35" hidden="1" customWidth="1"/>
    <col min="40" max="40" width="1.85546875" style="35" hidden="1" customWidth="1"/>
    <col min="41" max="41" width="15.85546875" style="35" hidden="1" customWidth="1"/>
    <col min="42" max="42" width="11.5703125" style="35" hidden="1" customWidth="1"/>
    <col min="43" max="43" width="14.140625" style="35" hidden="1" customWidth="1"/>
    <col min="44" max="44" width="13.140625" style="35" hidden="1" customWidth="1"/>
    <col min="45" max="45" width="20.5703125" style="35" hidden="1" customWidth="1"/>
    <col min="46" max="46" width="2.140625" style="35" customWidth="1"/>
    <col min="47" max="47" width="15.85546875" style="35" customWidth="1"/>
    <col min="48" max="48" width="1.85546875" style="35" customWidth="1"/>
    <col min="49" max="49" width="15.85546875" style="35" customWidth="1"/>
    <col min="50" max="50" width="1.85546875" style="35" customWidth="1"/>
    <col min="51" max="51" width="17" style="35" bestFit="1" customWidth="1"/>
    <col min="52" max="52" width="1.85546875" style="35" customWidth="1"/>
    <col min="53" max="53" width="15.85546875" style="35" customWidth="1"/>
    <col min="54" max="54" width="23.140625" style="98" customWidth="1"/>
    <col min="55" max="55" width="26.140625" style="98" bestFit="1" customWidth="1"/>
    <col min="56" max="56" width="12.85546875" style="98" bestFit="1" customWidth="1"/>
    <col min="57" max="58" width="9.140625" style="35"/>
    <col min="59" max="59" width="11.140625" style="35" bestFit="1" customWidth="1"/>
    <col min="60" max="16384" width="9.140625" style="35"/>
  </cols>
  <sheetData>
    <row r="1" spans="1:56" x14ac:dyDescent="0.2">
      <c r="A1" s="170" t="s">
        <v>378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87"/>
      <c r="W1" s="170"/>
      <c r="X1" s="170"/>
      <c r="Y1" s="170"/>
      <c r="Z1" s="170"/>
      <c r="AA1" s="170"/>
      <c r="AB1" s="170"/>
      <c r="AC1" s="170"/>
      <c r="AD1" s="79"/>
      <c r="AL1" s="79"/>
      <c r="AM1" s="170" t="s">
        <v>379</v>
      </c>
      <c r="AN1" s="170"/>
      <c r="AO1" s="170"/>
      <c r="AP1" s="170"/>
      <c r="AQ1" s="170"/>
      <c r="AR1" s="170"/>
      <c r="AS1" s="170"/>
      <c r="AT1" s="70"/>
    </row>
    <row r="2" spans="1:56" x14ac:dyDescent="0.2">
      <c r="A2" s="170" t="s">
        <v>355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87"/>
      <c r="W2" s="170"/>
      <c r="X2" s="170"/>
      <c r="Y2" s="170"/>
      <c r="Z2" s="170"/>
      <c r="AA2" s="170"/>
      <c r="AB2" s="170"/>
      <c r="AC2" s="170"/>
      <c r="AD2" s="79"/>
      <c r="AE2" s="170" t="s">
        <v>378</v>
      </c>
      <c r="AF2" s="170"/>
      <c r="AG2" s="170"/>
      <c r="AH2" s="170"/>
      <c r="AI2" s="170"/>
      <c r="AJ2" s="170"/>
      <c r="AK2" s="170"/>
      <c r="AL2" s="70"/>
      <c r="AM2" s="70"/>
      <c r="AN2" s="70"/>
      <c r="AO2" s="70"/>
      <c r="AP2" s="70"/>
      <c r="AQ2" s="70"/>
      <c r="AR2" s="70"/>
      <c r="AS2" s="70"/>
      <c r="AT2" s="70"/>
    </row>
    <row r="3" spans="1:56" x14ac:dyDescent="0.2">
      <c r="A3" s="170" t="s">
        <v>299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87"/>
      <c r="W3" s="87"/>
      <c r="X3" s="87"/>
      <c r="Y3" s="87"/>
      <c r="Z3" s="87"/>
      <c r="AA3" s="87"/>
      <c r="AB3" s="87"/>
      <c r="AC3" s="87"/>
      <c r="AD3" s="79"/>
      <c r="AE3" s="170" t="s">
        <v>355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87"/>
    </row>
    <row r="4" spans="1:56" x14ac:dyDescent="0.2">
      <c r="A4" s="171">
        <f>+'Balance Sheet'!A4:O4</f>
        <v>46203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87"/>
      <c r="W4" s="170"/>
      <c r="X4" s="170"/>
      <c r="Y4" s="170"/>
      <c r="Z4" s="170"/>
      <c r="AA4" s="170"/>
      <c r="AB4" s="170"/>
      <c r="AC4" s="170"/>
      <c r="AD4" s="79"/>
      <c r="AE4" s="170" t="s">
        <v>380</v>
      </c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70"/>
    </row>
    <row r="5" spans="1:56" x14ac:dyDescent="0.2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87"/>
      <c r="W5" s="87"/>
      <c r="X5" s="87"/>
      <c r="Y5" s="87"/>
      <c r="Z5" s="87"/>
      <c r="AA5" s="87"/>
      <c r="AB5" s="87"/>
      <c r="AC5" s="87"/>
      <c r="AE5" s="171">
        <v>46203</v>
      </c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</row>
    <row r="6" spans="1:56" x14ac:dyDescent="0.2">
      <c r="AA6" s="36"/>
    </row>
    <row r="7" spans="1:56" x14ac:dyDescent="0.2">
      <c r="B7" s="85" t="s">
        <v>381</v>
      </c>
      <c r="C7" s="86"/>
    </row>
    <row r="8" spans="1:56" x14ac:dyDescent="0.2">
      <c r="B8" s="85" t="s">
        <v>382</v>
      </c>
      <c r="C8" s="84"/>
      <c r="D8" s="83" t="str">
        <f>IF(C7=0,"%",C8/C7)</f>
        <v>%</v>
      </c>
      <c r="E8" s="82" t="s">
        <v>383</v>
      </c>
    </row>
    <row r="9" spans="1:56" x14ac:dyDescent="0.2">
      <c r="B9" s="70"/>
      <c r="C9" s="70"/>
      <c r="D9" s="70"/>
    </row>
    <row r="10" spans="1:56" x14ac:dyDescent="0.2">
      <c r="B10" s="70"/>
      <c r="C10" s="70"/>
      <c r="D10" s="70"/>
      <c r="E10" s="70"/>
      <c r="F10" s="70"/>
      <c r="G10" s="172" t="s">
        <v>6</v>
      </c>
      <c r="H10" s="175"/>
      <c r="I10" s="173"/>
      <c r="J10" s="173"/>
      <c r="K10" s="173"/>
      <c r="L10" s="173"/>
      <c r="M10" s="174"/>
      <c r="N10" s="81"/>
      <c r="O10" s="172" t="s">
        <v>384</v>
      </c>
      <c r="P10" s="173"/>
      <c r="Q10" s="173"/>
      <c r="R10" s="173"/>
      <c r="S10" s="173"/>
      <c r="T10" s="173"/>
      <c r="U10" s="174"/>
      <c r="V10" s="81"/>
      <c r="W10" s="172" t="s">
        <v>8</v>
      </c>
      <c r="X10" s="173"/>
      <c r="Y10" s="173"/>
      <c r="Z10" s="173"/>
      <c r="AA10" s="173"/>
      <c r="AB10" s="173"/>
      <c r="AC10" s="174"/>
      <c r="AD10" s="81"/>
      <c r="AE10" s="172" t="s">
        <v>9</v>
      </c>
      <c r="AF10" s="173"/>
      <c r="AG10" s="173"/>
      <c r="AH10" s="173"/>
      <c r="AI10" s="173"/>
      <c r="AJ10" s="173"/>
      <c r="AK10" s="174"/>
      <c r="AL10" s="80"/>
      <c r="AM10" s="172" t="s">
        <v>385</v>
      </c>
      <c r="AN10" s="173"/>
      <c r="AO10" s="173"/>
      <c r="AP10" s="173"/>
      <c r="AQ10" s="173"/>
      <c r="AR10" s="173"/>
      <c r="AS10" s="174"/>
      <c r="AT10" s="80"/>
      <c r="AU10" s="172" t="s">
        <v>359</v>
      </c>
      <c r="AV10" s="173"/>
      <c r="AW10" s="173"/>
      <c r="AX10" s="173"/>
      <c r="AY10" s="173"/>
      <c r="AZ10" s="173"/>
      <c r="BA10" s="174"/>
    </row>
    <row r="11" spans="1:56" s="71" customFormat="1" ht="39.950000000000003" customHeight="1" x14ac:dyDescent="0.2">
      <c r="A11" s="79"/>
      <c r="E11" s="78" t="s">
        <v>386</v>
      </c>
      <c r="G11" s="77" t="s">
        <v>387</v>
      </c>
      <c r="H11" s="76"/>
      <c r="I11" s="73" t="s">
        <v>388</v>
      </c>
      <c r="J11" s="74"/>
      <c r="K11" s="73" t="s">
        <v>389</v>
      </c>
      <c r="L11" s="74"/>
      <c r="M11" s="73" t="s">
        <v>390</v>
      </c>
      <c r="N11" s="75"/>
      <c r="O11" s="73" t="s">
        <v>387</v>
      </c>
      <c r="P11" s="74"/>
      <c r="Q11" s="73" t="s">
        <v>388</v>
      </c>
      <c r="R11" s="74"/>
      <c r="S11" s="73" t="s">
        <v>389</v>
      </c>
      <c r="T11" s="74"/>
      <c r="U11" s="73" t="s">
        <v>390</v>
      </c>
      <c r="V11" s="75"/>
      <c r="W11" s="73" t="s">
        <v>387</v>
      </c>
      <c r="X11" s="74"/>
      <c r="Y11" s="73" t="s">
        <v>388</v>
      </c>
      <c r="Z11" s="74"/>
      <c r="AA11" s="73" t="s">
        <v>31</v>
      </c>
      <c r="AB11" s="74"/>
      <c r="AC11" s="73" t="s">
        <v>391</v>
      </c>
      <c r="AD11" s="75"/>
      <c r="AE11" s="73" t="s">
        <v>387</v>
      </c>
      <c r="AF11" s="74"/>
      <c r="AG11" s="73" t="s">
        <v>388</v>
      </c>
      <c r="AH11" s="74"/>
      <c r="AI11" s="73" t="s">
        <v>389</v>
      </c>
      <c r="AJ11" s="74"/>
      <c r="AK11" s="73" t="s">
        <v>390</v>
      </c>
      <c r="AL11" s="72"/>
      <c r="AM11" s="73" t="s">
        <v>387</v>
      </c>
      <c r="AN11" s="74"/>
      <c r="AO11" s="73" t="s">
        <v>388</v>
      </c>
      <c r="AP11" s="74"/>
      <c r="AQ11" s="73" t="s">
        <v>31</v>
      </c>
      <c r="AR11" s="74"/>
      <c r="AS11" s="73" t="s">
        <v>391</v>
      </c>
      <c r="AT11" s="72"/>
      <c r="AU11" s="73" t="s">
        <v>387</v>
      </c>
      <c r="AV11" s="74"/>
      <c r="AW11" s="73" t="s">
        <v>388</v>
      </c>
      <c r="AX11" s="74"/>
      <c r="AY11" s="73" t="s">
        <v>389</v>
      </c>
      <c r="AZ11" s="74"/>
      <c r="BA11" s="73" t="s">
        <v>390</v>
      </c>
      <c r="BB11" s="106"/>
      <c r="BC11" s="107"/>
      <c r="BD11" s="107"/>
    </row>
    <row r="13" spans="1:56" x14ac:dyDescent="0.2">
      <c r="A13" s="42" t="s">
        <v>28</v>
      </c>
    </row>
    <row r="14" spans="1:56" x14ac:dyDescent="0.2">
      <c r="A14" s="42"/>
      <c r="B14" s="66" t="s">
        <v>392</v>
      </c>
      <c r="C14" s="66"/>
      <c r="D14" s="66"/>
      <c r="E14" s="70"/>
    </row>
    <row r="15" spans="1:56" x14ac:dyDescent="0.2">
      <c r="A15" s="42"/>
      <c r="B15" s="66" t="s">
        <v>310</v>
      </c>
      <c r="C15" s="66"/>
      <c r="D15" s="66"/>
      <c r="E15" s="58">
        <v>3100</v>
      </c>
      <c r="G15" s="69">
        <f>+'Joe County Report- Intacct'!$B$13</f>
        <v>0</v>
      </c>
      <c r="H15" s="38"/>
      <c r="I15" s="69">
        <f>+'Joe County Report- Intacct'!$C$13</f>
        <v>0</v>
      </c>
      <c r="J15" s="38"/>
      <c r="K15" s="69">
        <f>+'Joe County Report- Intacct'!$D$13</f>
        <v>0</v>
      </c>
      <c r="L15" s="38"/>
      <c r="M15" s="43" t="str">
        <f t="shared" ref="M15:M16" si="0">IF(K15=0,"%",I15/K15)</f>
        <v>%</v>
      </c>
      <c r="N15" s="69"/>
      <c r="O15" s="69">
        <f>+'Joe County Report- Intacct'!F13</f>
        <v>0</v>
      </c>
      <c r="P15" s="38"/>
      <c r="Q15" s="69">
        <f>+'Joe County Report- Intacct'!G13</f>
        <v>0</v>
      </c>
      <c r="R15" s="38"/>
      <c r="S15" s="40">
        <f>+'Joe County Report- Intacct'!H13</f>
        <v>0</v>
      </c>
      <c r="T15" s="38"/>
      <c r="U15" s="43" t="str">
        <f t="shared" ref="U15:U23" si="1">IF(S15=0,"%",Q15/S15)</f>
        <v>%</v>
      </c>
      <c r="V15" s="69"/>
      <c r="W15" s="69">
        <f>+'Joe County Report- Intacct'!J13</f>
        <v>0</v>
      </c>
      <c r="X15" s="38"/>
      <c r="Y15" s="69">
        <f>+'Joe County Report- Intacct'!K13</f>
        <v>0</v>
      </c>
      <c r="Z15" s="38"/>
      <c r="AA15" s="69">
        <f>+'Joe County Report- Intacct'!L13</f>
        <v>0</v>
      </c>
      <c r="AB15" s="38"/>
      <c r="AC15" s="43" t="str">
        <f t="shared" ref="AC15:AC23" si="2">IF(AA15=0,"%",Y15/AA15)</f>
        <v>%</v>
      </c>
      <c r="AD15" s="69"/>
      <c r="AE15" s="69">
        <f>+'Joe County Report- Intacct'!N13</f>
        <v>0</v>
      </c>
      <c r="AF15" s="38"/>
      <c r="AG15" s="69">
        <f>+'Joe County Report- Intacct'!O13</f>
        <v>0</v>
      </c>
      <c r="AH15" s="38"/>
      <c r="AI15" s="69">
        <f>+'Joe County Report- Intacct'!P13</f>
        <v>0</v>
      </c>
      <c r="AJ15" s="38"/>
      <c r="AK15" s="43" t="str">
        <f>IF(AI15=0,"%",AG15/AI15)</f>
        <v>%</v>
      </c>
      <c r="AL15" s="69"/>
      <c r="AM15" s="69">
        <v>0</v>
      </c>
      <c r="AN15" s="38"/>
      <c r="AO15" s="69">
        <v>0</v>
      </c>
      <c r="AP15" s="38"/>
      <c r="AQ15" s="69">
        <v>0</v>
      </c>
      <c r="AR15" s="38"/>
      <c r="AS15" s="43" t="str">
        <f>IF(AQ15=0,"%",AO15/AQ15)</f>
        <v>%</v>
      </c>
      <c r="AT15" s="69"/>
      <c r="AU15" s="69">
        <f>G15+O15+W15+AE15+AM15</f>
        <v>0</v>
      </c>
      <c r="AV15" s="38"/>
      <c r="AW15" s="69">
        <f>I15+Q15+Y15+AG15+AO15</f>
        <v>0</v>
      </c>
      <c r="AX15" s="38"/>
      <c r="AY15" s="69">
        <f>K15+S15+AA15+AI15+AQ15</f>
        <v>0</v>
      </c>
      <c r="AZ15" s="38"/>
      <c r="BA15" s="43" t="str">
        <f>IF(AY15=0,"%",AW15/AY15)</f>
        <v>%</v>
      </c>
    </row>
    <row r="16" spans="1:56" x14ac:dyDescent="0.2">
      <c r="A16" s="42" t="s">
        <v>393</v>
      </c>
      <c r="B16" s="66" t="s">
        <v>311</v>
      </c>
      <c r="C16" s="66"/>
      <c r="D16" s="66"/>
      <c r="E16" s="68">
        <v>3200</v>
      </c>
      <c r="G16" s="40">
        <f>+'Joe County Report- Intacct'!$B$14</f>
        <v>0</v>
      </c>
      <c r="H16" s="67"/>
      <c r="I16" s="40">
        <f>+'Joe County Report- Intacct'!$C$14</f>
        <v>43795</v>
      </c>
      <c r="J16" s="67"/>
      <c r="K16" s="40">
        <f>+'Joe County Report- Intacct'!$D$14</f>
        <v>43795</v>
      </c>
      <c r="L16" s="67"/>
      <c r="M16" s="43">
        <f t="shared" si="0"/>
        <v>1</v>
      </c>
      <c r="N16" s="67"/>
      <c r="O16" s="40">
        <f>+'Joe County Report- Intacct'!F14</f>
        <v>0</v>
      </c>
      <c r="P16" s="67"/>
      <c r="Q16" s="40">
        <f>+'Joe County Report- Intacct'!G14</f>
        <v>0</v>
      </c>
      <c r="R16" s="40"/>
      <c r="S16" s="40">
        <f>+'Joe County Report- Intacct'!H14</f>
        <v>0</v>
      </c>
      <c r="T16" s="67"/>
      <c r="U16" s="43" t="str">
        <f t="shared" si="1"/>
        <v>%</v>
      </c>
      <c r="V16" s="67"/>
      <c r="W16" s="40">
        <f>+'Joe County Report- Intacct'!J14</f>
        <v>0</v>
      </c>
      <c r="X16" s="40"/>
      <c r="Y16" s="40">
        <f>+'Joe County Report- Intacct'!K14</f>
        <v>0</v>
      </c>
      <c r="Z16" s="40"/>
      <c r="AA16" s="40">
        <f>+'Joe County Report- Intacct'!L14</f>
        <v>0</v>
      </c>
      <c r="AB16" s="67"/>
      <c r="AC16" s="43" t="str">
        <f t="shared" si="2"/>
        <v>%</v>
      </c>
      <c r="AD16" s="67"/>
      <c r="AE16" s="40">
        <f>+'Joe County Report- Intacct'!N14</f>
        <v>0</v>
      </c>
      <c r="AF16" s="67"/>
      <c r="AG16" s="40">
        <f>+'Joe County Report- Intacct'!O14</f>
        <v>0</v>
      </c>
      <c r="AH16" s="67"/>
      <c r="AI16" s="40">
        <f>+'Joe County Report- Intacct'!P14</f>
        <v>0</v>
      </c>
      <c r="AJ16" s="67"/>
      <c r="AK16" s="43" t="str">
        <f>IF(AI16=0,"",AG16/AI16)</f>
        <v/>
      </c>
      <c r="AL16" s="67"/>
      <c r="AM16" s="67"/>
      <c r="AN16" s="67"/>
      <c r="AO16" s="67"/>
      <c r="AP16" s="67"/>
      <c r="AQ16" s="67"/>
      <c r="AR16" s="67"/>
      <c r="AS16" s="43" t="str">
        <f>IF(AQ16=0,"",AO16/AQ16)</f>
        <v/>
      </c>
      <c r="AT16" s="67"/>
      <c r="AU16" s="40">
        <f>G16+O16+W16+AE16+AM16</f>
        <v>0</v>
      </c>
      <c r="AV16" s="44"/>
      <c r="AW16" s="40">
        <f>+'Joe County Report- Intacct'!S14</f>
        <v>43795</v>
      </c>
      <c r="AX16" s="44"/>
      <c r="AY16" s="69">
        <f>K16+S16+AA16+AI16+AQ16</f>
        <v>43795</v>
      </c>
      <c r="AZ16" s="67"/>
      <c r="BA16" s="43">
        <f>IF(AY16=0,"",AW16/AY16)</f>
        <v>1</v>
      </c>
    </row>
    <row r="17" spans="1:59" x14ac:dyDescent="0.2">
      <c r="A17" s="42"/>
      <c r="B17" s="66" t="s">
        <v>394</v>
      </c>
      <c r="C17" s="66"/>
      <c r="D17" s="66"/>
      <c r="E17" s="58"/>
      <c r="G17" s="40"/>
      <c r="H17" s="67"/>
      <c r="I17" s="40"/>
      <c r="J17" s="67"/>
      <c r="K17" s="40"/>
      <c r="L17" s="67"/>
      <c r="M17" s="43"/>
      <c r="N17" s="67"/>
      <c r="O17" s="67"/>
      <c r="P17" s="67"/>
      <c r="Q17" s="67"/>
      <c r="R17" s="67"/>
      <c r="S17" s="40"/>
      <c r="T17" s="67"/>
      <c r="U17" s="43"/>
      <c r="V17" s="67"/>
      <c r="W17" s="40"/>
      <c r="X17" s="40"/>
      <c r="Y17" s="40"/>
      <c r="Z17" s="40"/>
      <c r="AA17" s="40"/>
      <c r="AB17" s="67"/>
      <c r="AC17" s="43" t="str">
        <f t="shared" si="2"/>
        <v>%</v>
      </c>
      <c r="AD17" s="67"/>
      <c r="AE17" s="40"/>
      <c r="AF17" s="67"/>
      <c r="AG17" s="40"/>
      <c r="AH17" s="67"/>
      <c r="AI17" s="40"/>
      <c r="AJ17" s="67"/>
      <c r="AK17" s="43"/>
      <c r="AL17" s="67"/>
      <c r="AM17" s="67"/>
      <c r="AN17" s="67"/>
      <c r="AO17" s="67"/>
      <c r="AP17" s="67"/>
      <c r="AQ17" s="67"/>
      <c r="AR17" s="67"/>
      <c r="AS17" s="43"/>
      <c r="AT17" s="67"/>
      <c r="AU17" s="40"/>
      <c r="AV17" s="44"/>
      <c r="AW17" s="40"/>
      <c r="AX17" s="44"/>
      <c r="AY17" s="40"/>
      <c r="AZ17" s="67"/>
      <c r="BA17" s="43"/>
    </row>
    <row r="18" spans="1:59" x14ac:dyDescent="0.2">
      <c r="A18" s="42"/>
      <c r="B18" s="66" t="s">
        <v>313</v>
      </c>
      <c r="C18" s="66"/>
      <c r="D18" s="66"/>
      <c r="E18" s="58">
        <v>3310</v>
      </c>
      <c r="G18" s="40">
        <f>+'Joe County Report- Intacct'!$B$17</f>
        <v>1774083</v>
      </c>
      <c r="H18" s="67"/>
      <c r="I18" s="40">
        <f>+'Joe County Report- Intacct'!$C$17</f>
        <v>7371592</v>
      </c>
      <c r="J18" s="67"/>
      <c r="K18" s="40">
        <f>+'Joe County Report- Intacct'!$D$17</f>
        <v>7375386</v>
      </c>
      <c r="L18" s="67"/>
      <c r="M18" s="43">
        <f t="shared" ref="M18:M20" si="3">IF(K18=0,"%",I18/K18)</f>
        <v>0.99948558624592665</v>
      </c>
      <c r="N18" s="67"/>
      <c r="O18" s="40">
        <f>+'Joe County Report- Intacct'!F17</f>
        <v>0</v>
      </c>
      <c r="P18" s="40"/>
      <c r="Q18" s="40">
        <f>+'Joe County Report- Intacct'!G17</f>
        <v>0</v>
      </c>
      <c r="R18" s="40"/>
      <c r="S18" s="40">
        <f>+'Joe County Report- Intacct'!H17</f>
        <v>0</v>
      </c>
      <c r="T18" s="67"/>
      <c r="U18" s="43" t="str">
        <f t="shared" si="1"/>
        <v>%</v>
      </c>
      <c r="V18" s="67"/>
      <c r="W18" s="40">
        <f>+'Joe County Report- Intacct'!J17</f>
        <v>0</v>
      </c>
      <c r="X18" s="40"/>
      <c r="Y18" s="40">
        <f>+'Joe County Report- Intacct'!K17</f>
        <v>0</v>
      </c>
      <c r="Z18" s="40"/>
      <c r="AA18" s="40">
        <f>+'Joe County Report- Intacct'!L17</f>
        <v>0</v>
      </c>
      <c r="AB18" s="67"/>
      <c r="AC18" s="43" t="str">
        <f t="shared" si="2"/>
        <v>%</v>
      </c>
      <c r="AD18" s="67"/>
      <c r="AE18" s="40">
        <f>+'Joe County Report- Intacct'!N17</f>
        <v>0</v>
      </c>
      <c r="AF18" s="67"/>
      <c r="AG18" s="40">
        <f>+'Joe County Report- Intacct'!O17</f>
        <v>0</v>
      </c>
      <c r="AH18" s="67"/>
      <c r="AI18" s="40">
        <f>+'Joe County Report- Intacct'!P17</f>
        <v>0</v>
      </c>
      <c r="AJ18" s="67"/>
      <c r="AK18" s="43" t="str">
        <f>IF(AI18=0,"",AG18/AI18)</f>
        <v/>
      </c>
      <c r="AL18" s="67"/>
      <c r="AM18" s="67"/>
      <c r="AN18" s="67"/>
      <c r="AO18" s="67"/>
      <c r="AP18" s="67"/>
      <c r="AQ18" s="67"/>
      <c r="AR18" s="67"/>
      <c r="AS18" s="43" t="str">
        <f>IF(AQ18=0,"",AO18/AQ18)</f>
        <v/>
      </c>
      <c r="AT18" s="67"/>
      <c r="AU18" s="40">
        <f>G18+O18+W18+AE18+AM18</f>
        <v>1774083</v>
      </c>
      <c r="AV18" s="44"/>
      <c r="AW18" s="40">
        <f>I18+Q18+Y18+AG18+AO18</f>
        <v>7371592</v>
      </c>
      <c r="AX18" s="44"/>
      <c r="AY18" s="40">
        <f>K18+S18+AA18+AI18+AQ18</f>
        <v>7375386</v>
      </c>
      <c r="AZ18" s="67"/>
      <c r="BA18" s="43">
        <f>IF(AY18=0,"",AW18/AY18)</f>
        <v>0.99948558624592665</v>
      </c>
    </row>
    <row r="19" spans="1:59" x14ac:dyDescent="0.2">
      <c r="A19" s="42"/>
      <c r="B19" s="66" t="s">
        <v>317</v>
      </c>
      <c r="C19" s="66"/>
      <c r="D19" s="66"/>
      <c r="E19" s="58">
        <v>3397</v>
      </c>
      <c r="G19" s="40">
        <f>+'Joe County Report- Intacct'!$B$21</f>
        <v>0</v>
      </c>
      <c r="H19" s="67"/>
      <c r="I19" s="40">
        <f>+'Joe County Report- Intacct'!$C$21</f>
        <v>0</v>
      </c>
      <c r="J19" s="67"/>
      <c r="K19" s="40">
        <f>+'Joe County Report- Intacct'!$D$21</f>
        <v>0</v>
      </c>
      <c r="L19" s="67"/>
      <c r="M19" s="43" t="str">
        <f t="shared" si="3"/>
        <v>%</v>
      </c>
      <c r="N19" s="67"/>
      <c r="O19" s="40">
        <f>+'Joe County Report- Intacct'!F21</f>
        <v>0</v>
      </c>
      <c r="P19" s="40"/>
      <c r="Q19" s="40">
        <f>+'Joe County Report- Intacct'!G21</f>
        <v>0</v>
      </c>
      <c r="R19" s="40"/>
      <c r="S19" s="40">
        <f>+'Joe County Report- Intacct'!H21</f>
        <v>0</v>
      </c>
      <c r="T19" s="67"/>
      <c r="U19" s="43" t="str">
        <f t="shared" si="1"/>
        <v>%</v>
      </c>
      <c r="V19" s="67"/>
      <c r="W19" s="40">
        <f>+'Joe County Report- Intacct'!J21</f>
        <v>0</v>
      </c>
      <c r="X19" s="40"/>
      <c r="Y19" s="40">
        <f>+'Joe County Report- Intacct'!K21</f>
        <v>0</v>
      </c>
      <c r="Z19" s="40"/>
      <c r="AA19" s="40">
        <f>+'Joe County Report- Intacct'!L21</f>
        <v>0</v>
      </c>
      <c r="AB19" s="67"/>
      <c r="AC19" s="43" t="str">
        <f t="shared" si="2"/>
        <v>%</v>
      </c>
      <c r="AD19" s="67"/>
      <c r="AE19" s="40">
        <f>+'Joe County Report- Intacct'!N21</f>
        <v>201149</v>
      </c>
      <c r="AF19" s="67"/>
      <c r="AG19" s="40">
        <f>+'Joe County Report- Intacct'!O21</f>
        <v>607624</v>
      </c>
      <c r="AH19" s="67"/>
      <c r="AI19" s="40">
        <f>+'Joe County Report- Intacct'!P21</f>
        <v>607296</v>
      </c>
      <c r="AJ19" s="67"/>
      <c r="AK19" s="43">
        <f>IF(AI19=0,"",AG19/AI19)</f>
        <v>1.0005400990620719</v>
      </c>
      <c r="AL19" s="67"/>
      <c r="AM19" s="67"/>
      <c r="AN19" s="67"/>
      <c r="AO19" s="67"/>
      <c r="AP19" s="67"/>
      <c r="AQ19" s="67"/>
      <c r="AR19" s="67"/>
      <c r="AS19" s="43" t="str">
        <f>IF(AQ19=0,"",AO19/AQ19)</f>
        <v/>
      </c>
      <c r="AT19" s="67"/>
      <c r="AU19" s="40">
        <f>G19+O19+W19+AE19+AM19</f>
        <v>201149</v>
      </c>
      <c r="AV19" s="44"/>
      <c r="AW19" s="40">
        <f>I19+Q19+Y19+AG19+AO19</f>
        <v>607624</v>
      </c>
      <c r="AX19" s="44"/>
      <c r="AY19" s="40">
        <f>K19+S19+AA19+AI19+AQ19</f>
        <v>607296</v>
      </c>
      <c r="AZ19" s="67"/>
      <c r="BA19" s="43">
        <f>IF(AY19=0,"",AW19/AY19)</f>
        <v>1.0005400990620719</v>
      </c>
    </row>
    <row r="20" spans="1:59" x14ac:dyDescent="0.2">
      <c r="A20" s="42"/>
      <c r="B20" s="66" t="s">
        <v>318</v>
      </c>
      <c r="C20" s="66"/>
      <c r="D20" s="66"/>
      <c r="E20" s="58" t="s">
        <v>395</v>
      </c>
      <c r="G20" s="49">
        <f>+'Joe County Report- Intacct'!$B$22+'Joe County Report- Intacct'!$B$19</f>
        <v>270</v>
      </c>
      <c r="H20" s="67"/>
      <c r="I20" s="49">
        <f>+'Joe County Report- Intacct'!$C$22+'Joe County Report- Intacct'!$C$19</f>
        <v>77403</v>
      </c>
      <c r="J20" s="67"/>
      <c r="K20" s="49">
        <f>+'Joe County Report- Intacct'!$D$22+'Joe County Report- Intacct'!$D$19</f>
        <v>79503</v>
      </c>
      <c r="L20" s="67"/>
      <c r="M20" s="43">
        <f t="shared" si="3"/>
        <v>0.97358590241877663</v>
      </c>
      <c r="N20" s="67"/>
      <c r="O20" s="40">
        <f>+'Joe County Report- Intacct'!F22+'Joe County Report- Intacct'!F19</f>
        <v>0</v>
      </c>
      <c r="P20" s="40"/>
      <c r="Q20" s="40">
        <f>+'Joe County Report- Intacct'!G22+'Joe County Report- Intacct'!G19</f>
        <v>0</v>
      </c>
      <c r="R20" s="40"/>
      <c r="S20" s="40">
        <f>+'Joe County Report- Intacct'!H22+'Joe County Report- Intacct'!H19</f>
        <v>0</v>
      </c>
      <c r="T20" s="67"/>
      <c r="U20" s="43" t="str">
        <f t="shared" si="1"/>
        <v>%</v>
      </c>
      <c r="V20" s="67"/>
      <c r="W20" s="40">
        <f>+'Joe County Report- Intacct'!J22+'Joe County Report- Intacct'!J19</f>
        <v>0</v>
      </c>
      <c r="X20" s="40"/>
      <c r="Y20" s="40">
        <f>+'Joe County Report- Intacct'!K22+'Joe County Report- Intacct'!K19</f>
        <v>0</v>
      </c>
      <c r="Z20" s="40"/>
      <c r="AA20" s="40">
        <f>+'Joe County Report- Intacct'!L22+'Joe County Report- Intacct'!L19</f>
        <v>0</v>
      </c>
      <c r="AB20" s="67"/>
      <c r="AC20" s="43" t="str">
        <f t="shared" si="2"/>
        <v>%</v>
      </c>
      <c r="AD20" s="67"/>
      <c r="AE20" s="40">
        <f>+'Joe County Report- Intacct'!N22+'Joe County Report- Intacct'!N19</f>
        <v>0</v>
      </c>
      <c r="AF20" s="67"/>
      <c r="AG20" s="40">
        <f>+'Joe County Report- Intacct'!O22+'Joe County Report- Intacct'!O19</f>
        <v>0</v>
      </c>
      <c r="AH20" s="67"/>
      <c r="AI20" s="40">
        <f>+'Joe County Report- Intacct'!P22+'Joe County Report- Intacct'!P19</f>
        <v>0</v>
      </c>
      <c r="AJ20" s="67"/>
      <c r="AK20" s="43" t="str">
        <f>IF(AI20=0,"",AG20/AI20)</f>
        <v/>
      </c>
      <c r="AL20" s="67"/>
      <c r="AM20" s="67"/>
      <c r="AN20" s="67"/>
      <c r="AO20" s="67"/>
      <c r="AP20" s="67"/>
      <c r="AQ20" s="67"/>
      <c r="AR20" s="67"/>
      <c r="AS20" s="43" t="str">
        <f>IF(AQ20=0,"",AO20/AQ20)</f>
        <v/>
      </c>
      <c r="AT20" s="67"/>
      <c r="AU20" s="40">
        <f>G20+O20+W20+AE20+AM20</f>
        <v>270</v>
      </c>
      <c r="AV20" s="44"/>
      <c r="AW20" s="40">
        <f>I20+Q20+Y20+AG20+AO20</f>
        <v>77403</v>
      </c>
      <c r="AX20" s="44"/>
      <c r="AY20" s="40">
        <f>K20+S20+AA20+AI20+AQ20</f>
        <v>79503</v>
      </c>
      <c r="AZ20" s="67"/>
      <c r="BA20" s="43">
        <f>IF(AY20=0,"",AW20/AY20)</f>
        <v>0.97358590241877663</v>
      </c>
    </row>
    <row r="21" spans="1:59" x14ac:dyDescent="0.2">
      <c r="B21" s="66" t="s">
        <v>396</v>
      </c>
      <c r="C21" s="66"/>
      <c r="D21" s="66"/>
      <c r="E21" s="58"/>
      <c r="G21" s="40"/>
      <c r="H21" s="67"/>
      <c r="I21" s="40"/>
      <c r="J21" s="67"/>
      <c r="K21" s="40"/>
      <c r="L21" s="67"/>
      <c r="M21" s="43"/>
      <c r="N21" s="67"/>
      <c r="O21" s="40"/>
      <c r="P21" s="40"/>
      <c r="Q21" s="40"/>
      <c r="R21" s="40"/>
      <c r="S21" s="40"/>
      <c r="T21" s="67"/>
      <c r="U21" s="43"/>
      <c r="V21" s="67"/>
      <c r="W21" s="40"/>
      <c r="X21" s="40"/>
      <c r="Y21" s="40"/>
      <c r="Z21" s="40"/>
      <c r="AA21" s="40"/>
      <c r="AB21" s="67"/>
      <c r="AC21" s="43" t="str">
        <f t="shared" si="2"/>
        <v>%</v>
      </c>
      <c r="AD21" s="67"/>
      <c r="AE21" s="40"/>
      <c r="AF21" s="67"/>
      <c r="AG21" s="40"/>
      <c r="AH21" s="67"/>
      <c r="AI21" s="40"/>
      <c r="AJ21" s="67"/>
      <c r="AK21" s="43"/>
      <c r="AL21" s="67"/>
      <c r="AM21" s="67"/>
      <c r="AN21" s="67"/>
      <c r="AO21" s="67"/>
      <c r="AP21" s="67"/>
      <c r="AQ21" s="67"/>
      <c r="AR21" s="67"/>
      <c r="AS21" s="43"/>
      <c r="AT21" s="67"/>
      <c r="AU21" s="40"/>
      <c r="AV21" s="44"/>
      <c r="AW21" s="40"/>
      <c r="AX21" s="44"/>
      <c r="AY21" s="40"/>
      <c r="AZ21" s="67"/>
      <c r="BA21" s="43"/>
    </row>
    <row r="22" spans="1:59" x14ac:dyDescent="0.2">
      <c r="B22" s="66" t="s">
        <v>320</v>
      </c>
      <c r="C22" s="66"/>
      <c r="D22" s="66"/>
      <c r="E22" s="58">
        <v>3470</v>
      </c>
      <c r="G22" s="61">
        <f>+'Joe County Report- Intacct'!$B$25</f>
        <v>990942</v>
      </c>
      <c r="H22" s="44"/>
      <c r="I22" s="61">
        <f>+'Joe County Report- Intacct'!$C$25</f>
        <v>3498557</v>
      </c>
      <c r="J22" s="44"/>
      <c r="K22" s="40">
        <f>+'Joe County Report- Intacct'!$D$25</f>
        <v>3543770</v>
      </c>
      <c r="L22" s="44"/>
      <c r="M22" s="43">
        <f>IF(K22=0,"%",I22/K22)</f>
        <v>0.98724155348682341</v>
      </c>
      <c r="N22" s="40"/>
      <c r="O22" s="40">
        <f>+'Joe County Report- Intacct'!F25</f>
        <v>0</v>
      </c>
      <c r="P22" s="44"/>
      <c r="Q22" s="40">
        <f>+'Joe County Report- Intacct'!G25</f>
        <v>0</v>
      </c>
      <c r="R22" s="44"/>
      <c r="S22" s="40">
        <f>+'Joe County Report- Intacct'!H25</f>
        <v>0</v>
      </c>
      <c r="T22" s="44"/>
      <c r="U22" s="43" t="str">
        <f t="shared" si="1"/>
        <v>%</v>
      </c>
      <c r="V22" s="40"/>
      <c r="W22" s="40">
        <f>+'Joe County Report- Intacct'!J25</f>
        <v>0</v>
      </c>
      <c r="X22" s="44"/>
      <c r="Y22" s="40">
        <f>+'Joe County Report- Intacct'!K25</f>
        <v>0</v>
      </c>
      <c r="Z22" s="44"/>
      <c r="AA22" s="40">
        <f>+'Joe County Report- Intacct'!L25</f>
        <v>0</v>
      </c>
      <c r="AB22" s="44"/>
      <c r="AC22" s="43" t="str">
        <f t="shared" si="2"/>
        <v>%</v>
      </c>
      <c r="AD22" s="40"/>
      <c r="AE22" s="40">
        <f>+'Joe County Report- Intacct'!N25</f>
        <v>0</v>
      </c>
      <c r="AF22" s="44"/>
      <c r="AG22" s="40">
        <f>+'Joe County Report- Intacct'!O25</f>
        <v>0</v>
      </c>
      <c r="AH22" s="44"/>
      <c r="AI22" s="40">
        <f>+'Joe County Report- Intacct'!P25</f>
        <v>0</v>
      </c>
      <c r="AJ22" s="44"/>
      <c r="AK22" s="43" t="str">
        <f>IF(AI22=0,"",AG22/AI22)</f>
        <v/>
      </c>
      <c r="AL22" s="40"/>
      <c r="AM22" s="40"/>
      <c r="AN22" s="44"/>
      <c r="AO22" s="40"/>
      <c r="AP22" s="44"/>
      <c r="AQ22" s="40"/>
      <c r="AR22" s="44"/>
      <c r="AS22" s="43" t="str">
        <f>IF(AQ22=0,"",AO22/AQ22)</f>
        <v/>
      </c>
      <c r="AT22" s="40"/>
      <c r="AU22" s="40">
        <f>G22+O22+W22+AE22+AM22</f>
        <v>990942</v>
      </c>
      <c r="AV22" s="44"/>
      <c r="AW22" s="40">
        <f>I22+Q22+Y22+AG22+AO22</f>
        <v>3498557</v>
      </c>
      <c r="AX22" s="44"/>
      <c r="AY22" s="40">
        <f>K22+S22+AA22+AI22+AQ22</f>
        <v>3543770</v>
      </c>
      <c r="AZ22" s="44"/>
      <c r="BA22" s="43">
        <f>IF(AY22=0,"",AW22/AY22)</f>
        <v>0.98724155348682341</v>
      </c>
      <c r="BB22" s="108"/>
    </row>
    <row r="23" spans="1:59" x14ac:dyDescent="0.2">
      <c r="B23" s="66" t="s">
        <v>321</v>
      </c>
      <c r="C23" s="66"/>
      <c r="D23" s="66"/>
      <c r="E23" s="58" t="s">
        <v>397</v>
      </c>
      <c r="G23" s="61">
        <f>+'Joe County Report- Intacct'!$B$26</f>
        <v>1245123</v>
      </c>
      <c r="H23" s="64"/>
      <c r="I23" s="61">
        <f>+'Joe County Report- Intacct'!$C$26</f>
        <v>5849754</v>
      </c>
      <c r="J23" s="64"/>
      <c r="K23" s="49">
        <f>+'Joe County Report- Intacct'!$D$26+4536925</f>
        <v>5820376</v>
      </c>
      <c r="L23" s="64"/>
      <c r="M23" s="43">
        <f>IF(K23=0,"%",I23/K23)</f>
        <v>1.0050474402341016</v>
      </c>
      <c r="N23" s="40"/>
      <c r="O23" s="40">
        <f>+'Joe County Report- Intacct'!F26</f>
        <v>769</v>
      </c>
      <c r="P23" s="64"/>
      <c r="Q23" s="40">
        <f>+'Joe County Report- Intacct'!G26</f>
        <v>130963</v>
      </c>
      <c r="R23" s="64"/>
      <c r="S23" s="40">
        <f>+'Joe County Report- Intacct'!H26</f>
        <v>246679</v>
      </c>
      <c r="T23" s="64"/>
      <c r="U23" s="43">
        <f t="shared" si="1"/>
        <v>0.53090453585428832</v>
      </c>
      <c r="V23" s="40"/>
      <c r="W23" s="40">
        <f>+'Joe County Report- Intacct'!J26</f>
        <v>0</v>
      </c>
      <c r="X23" s="64"/>
      <c r="Y23" s="40">
        <f>+'Joe County Report- Intacct'!K26</f>
        <v>0</v>
      </c>
      <c r="Z23" s="64"/>
      <c r="AA23" s="40">
        <f>+'Joe County Report- Intacct'!L26</f>
        <v>0</v>
      </c>
      <c r="AB23" s="64"/>
      <c r="AC23" s="43" t="str">
        <f t="shared" si="2"/>
        <v>%</v>
      </c>
      <c r="AD23" s="40"/>
      <c r="AE23" s="49">
        <f>+'Joe County Report- Intacct'!N26</f>
        <v>0</v>
      </c>
      <c r="AF23" s="64"/>
      <c r="AG23" s="40">
        <f>+'Joe County Report- Intacct'!O26</f>
        <v>182378</v>
      </c>
      <c r="AH23" s="64"/>
      <c r="AI23" s="40">
        <f>+'Joe County Report- Intacct'!P26</f>
        <v>182378</v>
      </c>
      <c r="AJ23" s="64"/>
      <c r="AK23" s="43">
        <f>IF(AI23=0,"",AG23/AI23)</f>
        <v>1</v>
      </c>
      <c r="AL23" s="40"/>
      <c r="AM23" s="40"/>
      <c r="AN23" s="64"/>
      <c r="AO23" s="40"/>
      <c r="AP23" s="64"/>
      <c r="AQ23" s="40"/>
      <c r="AR23" s="64"/>
      <c r="AS23" s="43" t="str">
        <f>IF(AQ23=0,"",AO23/AQ23)</f>
        <v/>
      </c>
      <c r="AT23" s="40"/>
      <c r="AU23" s="40">
        <f>G23+O23+W23+AE23+AM23</f>
        <v>1245892</v>
      </c>
      <c r="AV23" s="64"/>
      <c r="AW23" s="40">
        <f>I23+Q23+Y23+AG23+AO23</f>
        <v>6163095</v>
      </c>
      <c r="AX23" s="64"/>
      <c r="AY23" s="40">
        <f>K23+S23+AA23+AI23+AQ23</f>
        <v>6249433</v>
      </c>
      <c r="AZ23" s="64"/>
      <c r="BA23" s="43">
        <f>IF(AY23=0,"",AW23/AY23)</f>
        <v>0.98618466667296056</v>
      </c>
    </row>
    <row r="24" spans="1:59" ht="25.35" customHeight="1" x14ac:dyDescent="0.2">
      <c r="A24" s="42" t="s">
        <v>37</v>
      </c>
      <c r="G24" s="46">
        <f>SUM(G15:G23)</f>
        <v>4010418</v>
      </c>
      <c r="H24" s="44"/>
      <c r="I24" s="46">
        <f>SUM(I15:I23)</f>
        <v>16841101</v>
      </c>
      <c r="J24" s="44"/>
      <c r="K24" s="46">
        <f>SUM(K15:K23)</f>
        <v>16862830</v>
      </c>
      <c r="L24" s="44"/>
      <c r="M24" s="45">
        <f>IF(K24=0,"%",I24/K24)</f>
        <v>0.99871142625526088</v>
      </c>
      <c r="N24" s="40"/>
      <c r="O24" s="46">
        <f>SUM(O15:O23)</f>
        <v>769</v>
      </c>
      <c r="P24" s="44"/>
      <c r="Q24" s="46">
        <f>SUM(Q15:Q23)</f>
        <v>130963</v>
      </c>
      <c r="R24" s="44"/>
      <c r="S24" s="46">
        <f>SUM(S15:S23)</f>
        <v>246679</v>
      </c>
      <c r="T24" s="44"/>
      <c r="U24" s="45">
        <f>IF(S24=0,"%",Q24/S24)</f>
        <v>0.53090453585428832</v>
      </c>
      <c r="V24" s="40"/>
      <c r="W24" s="46">
        <f>SUM(W15:W23)</f>
        <v>0</v>
      </c>
      <c r="X24" s="44"/>
      <c r="Y24" s="46">
        <f>SUM(Y15:Y23)</f>
        <v>0</v>
      </c>
      <c r="Z24" s="44"/>
      <c r="AA24" s="46">
        <f>SUM(AA15:AA23)</f>
        <v>0</v>
      </c>
      <c r="AB24" s="44"/>
      <c r="AC24" s="97" t="str">
        <f>IF(AA24=0,"",Y24/AA24)</f>
        <v/>
      </c>
      <c r="AD24" s="40"/>
      <c r="AE24" s="46">
        <f>SUM(AE15:AE23)</f>
        <v>201149</v>
      </c>
      <c r="AF24" s="44"/>
      <c r="AG24" s="46">
        <f>SUM(AG15:AG23)</f>
        <v>790002</v>
      </c>
      <c r="AH24" s="44"/>
      <c r="AI24" s="46">
        <f>SUM(AI15:AI23)</f>
        <v>789674</v>
      </c>
      <c r="AJ24" s="44"/>
      <c r="AK24" s="45">
        <f>IF(AI24=0,"",AG24/AI24)</f>
        <v>1.0004153612756657</v>
      </c>
      <c r="AL24" s="40"/>
      <c r="AM24" s="46">
        <f>SUM(AM15:AM23)</f>
        <v>0</v>
      </c>
      <c r="AN24" s="44"/>
      <c r="AO24" s="46">
        <f>SUM(AO15:AO23)</f>
        <v>0</v>
      </c>
      <c r="AP24" s="44"/>
      <c r="AQ24" s="46">
        <f>SUM(AQ15:AQ23)</f>
        <v>0</v>
      </c>
      <c r="AR24" s="44"/>
      <c r="AS24" s="45" t="str">
        <f>IF(AQ24=0,"",AO24/AQ24)</f>
        <v/>
      </c>
      <c r="AT24" s="40"/>
      <c r="AU24" s="46">
        <f>SUM(AU15:AU23)</f>
        <v>4212336</v>
      </c>
      <c r="AV24" s="44"/>
      <c r="AW24" s="46">
        <f>SUM(AW15:AW23)</f>
        <v>17762066</v>
      </c>
      <c r="AX24" s="44"/>
      <c r="AY24" s="46">
        <f>SUM(AY15:AY23)</f>
        <v>17899183</v>
      </c>
      <c r="AZ24" s="44"/>
      <c r="BA24" s="45">
        <f>IF(AY24=0,"",AW24/AY24)</f>
        <v>0.99233948275739736</v>
      </c>
      <c r="BB24" s="108">
        <f>+AU24-'Joe County Report- Intacct'!R28</f>
        <v>0</v>
      </c>
      <c r="BC24" s="108">
        <f>+AW24-'Joe County Report- Intacct'!S28</f>
        <v>-1</v>
      </c>
      <c r="BD24" s="98" t="s">
        <v>398</v>
      </c>
      <c r="BG24" s="36"/>
    </row>
    <row r="25" spans="1:59" x14ac:dyDescent="0.2">
      <c r="G25" s="40"/>
      <c r="H25" s="44"/>
      <c r="I25" s="40"/>
      <c r="J25" s="44"/>
      <c r="K25" s="40"/>
      <c r="L25" s="44"/>
      <c r="M25" s="43"/>
      <c r="N25" s="40"/>
      <c r="O25" s="40"/>
      <c r="P25" s="44"/>
      <c r="Q25" s="40"/>
      <c r="R25" s="44"/>
      <c r="S25" s="40"/>
      <c r="T25" s="44"/>
      <c r="U25" s="43"/>
      <c r="V25" s="40"/>
      <c r="W25" s="40"/>
      <c r="X25" s="44"/>
      <c r="Y25" s="40"/>
      <c r="Z25" s="44"/>
      <c r="AA25" s="40"/>
      <c r="AB25" s="44"/>
      <c r="AC25" s="43"/>
      <c r="AD25" s="40"/>
      <c r="AE25" s="40"/>
      <c r="AF25" s="44"/>
      <c r="AG25" s="40"/>
      <c r="AH25" s="44"/>
      <c r="AI25" s="40"/>
      <c r="AJ25" s="44"/>
      <c r="AK25" s="43"/>
      <c r="AL25" s="40"/>
      <c r="AM25" s="40"/>
      <c r="AN25" s="44"/>
      <c r="AO25" s="40"/>
      <c r="AP25" s="44"/>
      <c r="AQ25" s="40"/>
      <c r="AR25" s="44"/>
      <c r="AS25" s="43"/>
      <c r="AT25" s="40"/>
      <c r="AU25" s="40"/>
      <c r="AV25" s="44"/>
      <c r="AW25" s="40"/>
      <c r="AX25" s="44"/>
      <c r="AY25" s="40"/>
      <c r="AZ25" s="44"/>
      <c r="BA25" s="43"/>
      <c r="BB25" s="108"/>
    </row>
    <row r="26" spans="1:59" x14ac:dyDescent="0.2">
      <c r="A26" s="42" t="s">
        <v>38</v>
      </c>
      <c r="G26" s="40"/>
      <c r="H26" s="44"/>
      <c r="I26" s="49"/>
      <c r="J26" s="44"/>
      <c r="K26" s="40"/>
      <c r="L26" s="44"/>
      <c r="M26" s="43"/>
      <c r="N26" s="40"/>
      <c r="O26" s="40"/>
      <c r="P26" s="44"/>
      <c r="Q26" s="40"/>
      <c r="R26" s="44"/>
      <c r="S26" s="40"/>
      <c r="T26" s="44"/>
      <c r="U26" s="43"/>
      <c r="V26" s="40"/>
      <c r="W26" s="40"/>
      <c r="X26" s="44"/>
      <c r="Y26" s="40"/>
      <c r="Z26" s="44"/>
      <c r="AA26" s="40"/>
      <c r="AB26" s="44"/>
      <c r="AC26" s="43"/>
      <c r="AD26" s="40"/>
      <c r="AE26" s="40"/>
      <c r="AF26" s="44"/>
      <c r="AG26" s="40"/>
      <c r="AH26" s="44"/>
      <c r="AI26" s="40"/>
      <c r="AJ26" s="44"/>
      <c r="AK26" s="43"/>
      <c r="AL26" s="40"/>
      <c r="AM26" s="40"/>
      <c r="AN26" s="44"/>
      <c r="AO26" s="40"/>
      <c r="AP26" s="44"/>
      <c r="AQ26" s="40"/>
      <c r="AR26" s="44"/>
      <c r="AS26" s="43"/>
      <c r="AT26" s="40"/>
      <c r="AU26" s="40"/>
      <c r="AV26" s="44"/>
      <c r="AW26" s="40"/>
      <c r="AX26" s="44"/>
      <c r="AY26" s="40"/>
      <c r="AZ26" s="44"/>
      <c r="BA26" s="43"/>
      <c r="BB26" s="108"/>
    </row>
    <row r="27" spans="1:59" x14ac:dyDescent="0.2">
      <c r="A27" s="35" t="s">
        <v>399</v>
      </c>
      <c r="G27" s="49"/>
      <c r="H27" s="50"/>
      <c r="I27" s="49"/>
      <c r="J27" s="50"/>
      <c r="K27" s="49"/>
      <c r="L27" s="50"/>
      <c r="M27" s="52"/>
      <c r="N27" s="40"/>
      <c r="O27" s="40"/>
      <c r="P27" s="44"/>
      <c r="Q27" s="40"/>
      <c r="R27" s="44"/>
      <c r="S27" s="40"/>
      <c r="T27" s="44"/>
      <c r="U27" s="43"/>
      <c r="V27" s="40"/>
      <c r="W27" s="40"/>
      <c r="X27" s="44"/>
      <c r="Y27" s="40"/>
      <c r="Z27" s="44"/>
      <c r="AA27" s="40"/>
      <c r="AB27" s="44"/>
      <c r="AC27" s="43"/>
      <c r="AD27" s="40"/>
      <c r="AE27" s="40"/>
      <c r="AF27" s="44"/>
      <c r="AG27" s="40"/>
      <c r="AH27" s="44"/>
      <c r="AI27" s="40"/>
      <c r="AJ27" s="44"/>
      <c r="AK27" s="43"/>
      <c r="AL27" s="40"/>
      <c r="AM27" s="40"/>
      <c r="AN27" s="44"/>
      <c r="AO27" s="40"/>
      <c r="AP27" s="44"/>
      <c r="AQ27" s="40"/>
      <c r="AR27" s="44"/>
      <c r="AS27" s="43"/>
      <c r="AT27" s="40"/>
      <c r="AU27" s="40"/>
      <c r="AV27" s="44"/>
      <c r="AW27" s="40"/>
      <c r="AX27" s="44"/>
      <c r="AY27" s="40"/>
      <c r="AZ27" s="44"/>
      <c r="BA27" s="43"/>
      <c r="BB27" s="108"/>
      <c r="BC27" s="108"/>
      <c r="BG27" s="36"/>
    </row>
    <row r="28" spans="1:59" x14ac:dyDescent="0.2">
      <c r="B28" s="57" t="s">
        <v>400</v>
      </c>
      <c r="C28" s="57"/>
      <c r="D28" s="57"/>
      <c r="E28" s="58" t="s">
        <v>401</v>
      </c>
      <c r="F28" s="57"/>
      <c r="G28" s="62">
        <f>+'Joe County Report- Intacct'!$B$30</f>
        <v>1014032</v>
      </c>
      <c r="H28" s="65"/>
      <c r="I28" s="182">
        <f>+'Joe County Report- Intacct'!$C$30</f>
        <v>3837158</v>
      </c>
      <c r="J28" s="65"/>
      <c r="K28" s="49">
        <f>+'Joe County Report- Intacct'!$D$30+267000</f>
        <v>3837792</v>
      </c>
      <c r="L28" s="65"/>
      <c r="M28" s="52">
        <f>IF(K28=0,"%",I28/K28)</f>
        <v>0.99983480084381848</v>
      </c>
      <c r="N28" s="40"/>
      <c r="O28" s="40">
        <f>+'Joe County Report- Intacct'!F30</f>
        <v>0</v>
      </c>
      <c r="P28" s="64"/>
      <c r="Q28" s="40">
        <f>+'Joe County Report- Intacct'!G30</f>
        <v>0</v>
      </c>
      <c r="R28" s="64"/>
      <c r="S28" s="40">
        <f>+'Joe County Report- Intacct'!H30</f>
        <v>0</v>
      </c>
      <c r="T28" s="64"/>
      <c r="U28" s="43" t="str">
        <f t="shared" ref="U28:U54" si="4">IF(S28=0,"%",Q28/S28)</f>
        <v>%</v>
      </c>
      <c r="V28" s="40"/>
      <c r="W28" s="40">
        <f>+'Joe County Report- Intacct'!J30</f>
        <v>0</v>
      </c>
      <c r="X28" s="64"/>
      <c r="Y28" s="40">
        <f>+'Joe County Report- Intacct'!K30</f>
        <v>0</v>
      </c>
      <c r="Z28" s="64"/>
      <c r="AA28" s="40">
        <f>+'Joe County Report- Intacct'!L30</f>
        <v>0</v>
      </c>
      <c r="AB28" s="64"/>
      <c r="AC28" s="43" t="str">
        <f t="shared" ref="AC28:AC54" si="5">IF(AA28=0,"%",Y28/AA28)</f>
        <v>%</v>
      </c>
      <c r="AD28" s="40"/>
      <c r="AE28" s="40">
        <f>+'Joe County Report- Intacct'!N30</f>
        <v>0</v>
      </c>
      <c r="AF28" s="64"/>
      <c r="AG28" s="40">
        <f>+'Joe County Report- Intacct'!O30</f>
        <v>0</v>
      </c>
      <c r="AH28" s="64"/>
      <c r="AI28" s="40">
        <f>+'Joe County Report- Intacct'!P30</f>
        <v>0</v>
      </c>
      <c r="AJ28" s="64"/>
      <c r="AK28" s="43" t="str">
        <f>IF(AI28=0,"",AG28/AI28)</f>
        <v/>
      </c>
      <c r="AL28" s="40"/>
      <c r="AM28" s="40"/>
      <c r="AN28" s="64"/>
      <c r="AO28" s="40"/>
      <c r="AP28" s="64"/>
      <c r="AQ28" s="40"/>
      <c r="AR28" s="64"/>
      <c r="AS28" s="43" t="str">
        <f>IF(AQ28=0,"",AO28/AQ28)</f>
        <v/>
      </c>
      <c r="AT28" s="40"/>
      <c r="AU28" s="40">
        <f t="shared" ref="AU28:AU54" si="6">G28+O28+W28+AE28+AM28</f>
        <v>1014032</v>
      </c>
      <c r="AV28" s="64"/>
      <c r="AW28" s="40">
        <f t="shared" ref="AW28:AW54" si="7">I28+Q28+Y28+AG28+AO28</f>
        <v>3837158</v>
      </c>
      <c r="AX28" s="64"/>
      <c r="AY28" s="40">
        <f t="shared" ref="AY28:AY54" si="8">K28+S28+AA28+AI28+AQ28</f>
        <v>3837792</v>
      </c>
      <c r="AZ28" s="64"/>
      <c r="BA28" s="43">
        <f t="shared" ref="BA28:BA56" si="9">IF(AY28=0,"",AW28/AY28)</f>
        <v>0.99983480084381848</v>
      </c>
      <c r="BG28" s="36"/>
    </row>
    <row r="29" spans="1:59" x14ac:dyDescent="0.2">
      <c r="B29" s="57" t="s">
        <v>402</v>
      </c>
      <c r="C29" s="57"/>
      <c r="D29" s="57"/>
      <c r="E29" s="58" t="s">
        <v>403</v>
      </c>
      <c r="F29" s="57"/>
      <c r="G29" s="62">
        <f>+'Joe County Report- Intacct'!$B$31</f>
        <v>95441</v>
      </c>
      <c r="H29" s="63"/>
      <c r="I29" s="182">
        <f>+'Joe County Report- Intacct'!$C$31</f>
        <v>566279</v>
      </c>
      <c r="J29" s="63"/>
      <c r="K29" s="49">
        <f>+'Joe County Report- Intacct'!$D$31+50000</f>
        <v>564660</v>
      </c>
      <c r="L29" s="63"/>
      <c r="M29" s="52">
        <f t="shared" ref="M29:M54" si="10">IF(K29=0,"%",I29/K29)</f>
        <v>1.0028672121276521</v>
      </c>
      <c r="N29" s="40"/>
      <c r="O29" s="40">
        <f>+'Joe County Report- Intacct'!F31</f>
        <v>0</v>
      </c>
      <c r="P29" s="60"/>
      <c r="Q29" s="40">
        <f>+'Joe County Report- Intacct'!G31</f>
        <v>0</v>
      </c>
      <c r="R29" s="60"/>
      <c r="S29" s="40">
        <f>+'Joe County Report- Intacct'!H31</f>
        <v>0</v>
      </c>
      <c r="T29" s="60"/>
      <c r="U29" s="43" t="str">
        <f t="shared" si="4"/>
        <v>%</v>
      </c>
      <c r="V29" s="40"/>
      <c r="W29" s="40">
        <f>+'Joe County Report- Intacct'!J31</f>
        <v>0</v>
      </c>
      <c r="X29" s="64"/>
      <c r="Y29" s="40">
        <f>+'Joe County Report- Intacct'!K31</f>
        <v>0</v>
      </c>
      <c r="Z29" s="64"/>
      <c r="AA29" s="40">
        <f>+'Joe County Report- Intacct'!L31</f>
        <v>0</v>
      </c>
      <c r="AB29" s="60"/>
      <c r="AC29" s="43" t="str">
        <f t="shared" si="5"/>
        <v>%</v>
      </c>
      <c r="AD29" s="40"/>
      <c r="AE29" s="40">
        <f>+'Joe County Report- Intacct'!N31</f>
        <v>0</v>
      </c>
      <c r="AF29" s="64"/>
      <c r="AG29" s="40">
        <f>+'Joe County Report- Intacct'!O31</f>
        <v>0</v>
      </c>
      <c r="AH29" s="64"/>
      <c r="AI29" s="40">
        <f>+'Joe County Report- Intacct'!P31</f>
        <v>0</v>
      </c>
      <c r="AJ29" s="64"/>
      <c r="AK29" s="43" t="str">
        <f t="shared" ref="AK29:AK54" si="11">IF(AI29=0,"",AG29/AI29)</f>
        <v/>
      </c>
      <c r="AL29" s="40"/>
      <c r="AM29" s="40"/>
      <c r="AN29" s="60"/>
      <c r="AO29" s="40"/>
      <c r="AP29" s="60"/>
      <c r="AQ29" s="40"/>
      <c r="AR29" s="60"/>
      <c r="AS29" s="43"/>
      <c r="AT29" s="40"/>
      <c r="AU29" s="40">
        <f t="shared" si="6"/>
        <v>95441</v>
      </c>
      <c r="AV29" s="60"/>
      <c r="AW29" s="40">
        <f t="shared" si="7"/>
        <v>566279</v>
      </c>
      <c r="AX29" s="60"/>
      <c r="AY29" s="40">
        <f t="shared" si="8"/>
        <v>564660</v>
      </c>
      <c r="AZ29" s="60"/>
      <c r="BA29" s="43">
        <f t="shared" si="9"/>
        <v>1.0028672121276521</v>
      </c>
    </row>
    <row r="30" spans="1:59" x14ac:dyDescent="0.2">
      <c r="B30" s="57" t="s">
        <v>404</v>
      </c>
      <c r="C30" s="57"/>
      <c r="D30" s="57"/>
      <c r="E30" s="58" t="s">
        <v>405</v>
      </c>
      <c r="F30" s="57"/>
      <c r="G30" s="62">
        <f>+'Joe County Report- Intacct'!$B$32</f>
        <v>0</v>
      </c>
      <c r="H30" s="63"/>
      <c r="I30" s="182">
        <f>+'Joe County Report- Intacct'!$C$32</f>
        <v>0</v>
      </c>
      <c r="J30" s="63"/>
      <c r="K30" s="49">
        <f>+'Joe County Report- Intacct'!$D$32-100</f>
        <v>0</v>
      </c>
      <c r="L30" s="63"/>
      <c r="M30" s="52" t="str">
        <f t="shared" si="10"/>
        <v>%</v>
      </c>
      <c r="N30" s="40"/>
      <c r="O30" s="40">
        <f>+'Joe County Report- Intacct'!F32</f>
        <v>0</v>
      </c>
      <c r="P30" s="60"/>
      <c r="Q30" s="40">
        <f>+'Joe County Report- Intacct'!G32</f>
        <v>0</v>
      </c>
      <c r="R30" s="60"/>
      <c r="S30" s="40">
        <f>+'Joe County Report- Intacct'!H32</f>
        <v>0</v>
      </c>
      <c r="T30" s="60"/>
      <c r="U30" s="43" t="str">
        <f t="shared" si="4"/>
        <v>%</v>
      </c>
      <c r="V30" s="40"/>
      <c r="W30" s="40">
        <f>+'Joe County Report- Intacct'!J32</f>
        <v>0</v>
      </c>
      <c r="X30" s="64"/>
      <c r="Y30" s="40">
        <f>+'Joe County Report- Intacct'!K32</f>
        <v>0</v>
      </c>
      <c r="Z30" s="64"/>
      <c r="AA30" s="40">
        <f>+'Joe County Report- Intacct'!L32</f>
        <v>0</v>
      </c>
      <c r="AB30" s="60"/>
      <c r="AC30" s="43" t="str">
        <f t="shared" si="5"/>
        <v>%</v>
      </c>
      <c r="AD30" s="40"/>
      <c r="AE30" s="40">
        <f>+'Joe County Report- Intacct'!N32</f>
        <v>0</v>
      </c>
      <c r="AF30" s="64"/>
      <c r="AG30" s="40">
        <f>+'Joe County Report- Intacct'!O32</f>
        <v>0</v>
      </c>
      <c r="AH30" s="64"/>
      <c r="AI30" s="40">
        <f>+'Joe County Report- Intacct'!P32</f>
        <v>0</v>
      </c>
      <c r="AJ30" s="64"/>
      <c r="AK30" s="43" t="str">
        <f t="shared" si="11"/>
        <v/>
      </c>
      <c r="AL30" s="40"/>
      <c r="AM30" s="40"/>
      <c r="AN30" s="60"/>
      <c r="AO30" s="40"/>
      <c r="AP30" s="60"/>
      <c r="AQ30" s="40"/>
      <c r="AR30" s="60"/>
      <c r="AS30" s="43"/>
      <c r="AT30" s="40"/>
      <c r="AU30" s="40">
        <f t="shared" si="6"/>
        <v>0</v>
      </c>
      <c r="AV30" s="60"/>
      <c r="AW30" s="40">
        <f t="shared" si="7"/>
        <v>0</v>
      </c>
      <c r="AX30" s="60"/>
      <c r="AY30" s="40">
        <f t="shared" si="8"/>
        <v>0</v>
      </c>
      <c r="AZ30" s="60"/>
      <c r="BA30" s="43" t="str">
        <f t="shared" si="9"/>
        <v/>
      </c>
    </row>
    <row r="31" spans="1:59" x14ac:dyDescent="0.2">
      <c r="B31" s="57" t="s">
        <v>406</v>
      </c>
      <c r="C31" s="57"/>
      <c r="D31" s="57"/>
      <c r="E31" s="58" t="s">
        <v>407</v>
      </c>
      <c r="F31" s="57"/>
      <c r="G31" s="62">
        <f>+'Joe County Report- Intacct'!$B$33</f>
        <v>4561</v>
      </c>
      <c r="H31" s="63"/>
      <c r="I31" s="182">
        <f>+'Joe County Report- Intacct'!$C$33</f>
        <v>163425</v>
      </c>
      <c r="J31" s="63"/>
      <c r="K31" s="49">
        <f>+'Joe County Report- Intacct'!$D$33+1650-10500</f>
        <v>163693</v>
      </c>
      <c r="L31" s="63"/>
      <c r="M31" s="52">
        <f t="shared" si="10"/>
        <v>0.99836278887918239</v>
      </c>
      <c r="N31" s="40"/>
      <c r="O31" s="40">
        <f>+'Joe County Report- Intacct'!F33</f>
        <v>0</v>
      </c>
      <c r="P31" s="60"/>
      <c r="Q31" s="40">
        <f>+'Joe County Report- Intacct'!G33</f>
        <v>0</v>
      </c>
      <c r="R31" s="60"/>
      <c r="S31" s="40">
        <f>+'Joe County Report- Intacct'!H33</f>
        <v>0</v>
      </c>
      <c r="T31" s="60"/>
      <c r="U31" s="43" t="str">
        <f t="shared" si="4"/>
        <v>%</v>
      </c>
      <c r="V31" s="40"/>
      <c r="W31" s="40">
        <f>+'Joe County Report- Intacct'!J33</f>
        <v>0</v>
      </c>
      <c r="X31" s="64"/>
      <c r="Y31" s="40">
        <f>+'Joe County Report- Intacct'!K33</f>
        <v>0</v>
      </c>
      <c r="Z31" s="64"/>
      <c r="AA31" s="40">
        <f>+'Joe County Report- Intacct'!L33</f>
        <v>0</v>
      </c>
      <c r="AB31" s="60"/>
      <c r="AC31" s="43" t="str">
        <f t="shared" si="5"/>
        <v>%</v>
      </c>
      <c r="AD31" s="40"/>
      <c r="AE31" s="40">
        <f>+'Joe County Report- Intacct'!N33</f>
        <v>0</v>
      </c>
      <c r="AF31" s="64"/>
      <c r="AG31" s="40">
        <f>+'Joe County Report- Intacct'!O33</f>
        <v>0</v>
      </c>
      <c r="AH31" s="64"/>
      <c r="AI31" s="40">
        <f>+'Joe County Report- Intacct'!P33</f>
        <v>0</v>
      </c>
      <c r="AJ31" s="64"/>
      <c r="AK31" s="43" t="str">
        <f t="shared" si="11"/>
        <v/>
      </c>
      <c r="AL31" s="40"/>
      <c r="AM31" s="40"/>
      <c r="AN31" s="60"/>
      <c r="AO31" s="40"/>
      <c r="AP31" s="60"/>
      <c r="AQ31" s="40"/>
      <c r="AR31" s="60"/>
      <c r="AS31" s="43"/>
      <c r="AT31" s="40"/>
      <c r="AU31" s="40">
        <f t="shared" si="6"/>
        <v>4561</v>
      </c>
      <c r="AV31" s="60"/>
      <c r="AW31" s="40">
        <f t="shared" si="7"/>
        <v>163425</v>
      </c>
      <c r="AX31" s="60"/>
      <c r="AY31" s="40">
        <f t="shared" si="8"/>
        <v>163693</v>
      </c>
      <c r="AZ31" s="60"/>
      <c r="BA31" s="43">
        <f t="shared" si="9"/>
        <v>0.99836278887918239</v>
      </c>
    </row>
    <row r="32" spans="1:59" x14ac:dyDescent="0.2">
      <c r="B32" s="57" t="s">
        <v>408</v>
      </c>
      <c r="C32" s="57"/>
      <c r="D32" s="57"/>
      <c r="E32" s="58" t="s">
        <v>409</v>
      </c>
      <c r="F32" s="57"/>
      <c r="G32" s="62">
        <f>+'Joe County Report- Intacct'!$B$34</f>
        <v>0</v>
      </c>
      <c r="H32" s="63"/>
      <c r="I32" s="182">
        <f>+'Joe County Report- Intacct'!$C$34</f>
        <v>0</v>
      </c>
      <c r="J32" s="63"/>
      <c r="K32" s="49">
        <f>+'Joe County Report- Intacct'!$D$34-1650</f>
        <v>0</v>
      </c>
      <c r="L32" s="63"/>
      <c r="M32" s="52" t="str">
        <f t="shared" si="10"/>
        <v>%</v>
      </c>
      <c r="N32" s="40"/>
      <c r="O32" s="40">
        <f>+'Joe County Report- Intacct'!F34</f>
        <v>0</v>
      </c>
      <c r="P32" s="60"/>
      <c r="Q32" s="40">
        <f>+'Joe County Report- Intacct'!G34</f>
        <v>0</v>
      </c>
      <c r="R32" s="60"/>
      <c r="S32" s="40">
        <f>+'Joe County Report- Intacct'!H34</f>
        <v>0</v>
      </c>
      <c r="T32" s="60"/>
      <c r="U32" s="43" t="str">
        <f t="shared" si="4"/>
        <v>%</v>
      </c>
      <c r="V32" s="40"/>
      <c r="W32" s="40">
        <f>+'Joe County Report- Intacct'!J34</f>
        <v>0</v>
      </c>
      <c r="X32" s="64"/>
      <c r="Y32" s="40">
        <f>+'Joe County Report- Intacct'!K34</f>
        <v>0</v>
      </c>
      <c r="Z32" s="64"/>
      <c r="AA32" s="40">
        <f>+'Joe County Report- Intacct'!L34</f>
        <v>0</v>
      </c>
      <c r="AB32" s="60"/>
      <c r="AC32" s="43" t="str">
        <f t="shared" si="5"/>
        <v>%</v>
      </c>
      <c r="AD32" s="40"/>
      <c r="AE32" s="40">
        <f>+'Joe County Report- Intacct'!N34</f>
        <v>0</v>
      </c>
      <c r="AF32" s="64"/>
      <c r="AG32" s="40">
        <f>+'Joe County Report- Intacct'!O34</f>
        <v>0</v>
      </c>
      <c r="AH32" s="64"/>
      <c r="AI32" s="40">
        <f>+'Joe County Report- Intacct'!P34</f>
        <v>0</v>
      </c>
      <c r="AJ32" s="64"/>
      <c r="AK32" s="43" t="str">
        <f t="shared" si="11"/>
        <v/>
      </c>
      <c r="AL32" s="40"/>
      <c r="AM32" s="40"/>
      <c r="AN32" s="60"/>
      <c r="AO32" s="40"/>
      <c r="AP32" s="60"/>
      <c r="AQ32" s="40"/>
      <c r="AR32" s="60"/>
      <c r="AS32" s="43"/>
      <c r="AT32" s="40"/>
      <c r="AU32" s="40">
        <f t="shared" si="6"/>
        <v>0</v>
      </c>
      <c r="AV32" s="60"/>
      <c r="AW32" s="40">
        <f t="shared" si="7"/>
        <v>0</v>
      </c>
      <c r="AX32" s="60"/>
      <c r="AY32" s="40">
        <f t="shared" si="8"/>
        <v>0</v>
      </c>
      <c r="AZ32" s="60"/>
      <c r="BA32" s="43" t="str">
        <f t="shared" si="9"/>
        <v/>
      </c>
      <c r="BB32" s="108"/>
    </row>
    <row r="33" spans="2:53" x14ac:dyDescent="0.2">
      <c r="B33" s="57" t="s">
        <v>410</v>
      </c>
      <c r="C33" s="57"/>
      <c r="D33" s="57"/>
      <c r="E33" s="58" t="s">
        <v>411</v>
      </c>
      <c r="F33" s="57"/>
      <c r="G33" s="62">
        <f>+'Joe County Report- Intacct'!$B$35</f>
        <v>0</v>
      </c>
      <c r="H33" s="63"/>
      <c r="I33" s="182">
        <f>+'Joe County Report- Intacct'!$C$35</f>
        <v>0</v>
      </c>
      <c r="J33" s="63"/>
      <c r="K33" s="49">
        <f>+'Joe County Report- Intacct'!$D$35-628</f>
        <v>0</v>
      </c>
      <c r="L33" s="63"/>
      <c r="M33" s="52" t="str">
        <f t="shared" si="10"/>
        <v>%</v>
      </c>
      <c r="N33" s="40"/>
      <c r="O33" s="40">
        <f>+'Joe County Report- Intacct'!F35</f>
        <v>0</v>
      </c>
      <c r="P33" s="60"/>
      <c r="Q33" s="40">
        <f>+'Joe County Report- Intacct'!G35</f>
        <v>0</v>
      </c>
      <c r="R33" s="60"/>
      <c r="S33" s="40">
        <f>+'Joe County Report- Intacct'!H35</f>
        <v>0</v>
      </c>
      <c r="T33" s="60"/>
      <c r="U33" s="43" t="str">
        <f t="shared" si="4"/>
        <v>%</v>
      </c>
      <c r="V33" s="40"/>
      <c r="W33" s="40">
        <f>+'Joe County Report- Intacct'!J35</f>
        <v>0</v>
      </c>
      <c r="X33" s="64"/>
      <c r="Y33" s="40">
        <f>+'Joe County Report- Intacct'!K35</f>
        <v>0</v>
      </c>
      <c r="Z33" s="64"/>
      <c r="AA33" s="40">
        <f>+'Joe County Report- Intacct'!L35</f>
        <v>0</v>
      </c>
      <c r="AB33" s="60"/>
      <c r="AC33" s="43" t="str">
        <f t="shared" si="5"/>
        <v>%</v>
      </c>
      <c r="AD33" s="40"/>
      <c r="AE33" s="40">
        <f>+'Joe County Report- Intacct'!N35</f>
        <v>0</v>
      </c>
      <c r="AF33" s="64"/>
      <c r="AG33" s="40">
        <f>+'Joe County Report- Intacct'!O35</f>
        <v>0</v>
      </c>
      <c r="AH33" s="64"/>
      <c r="AI33" s="40">
        <f>+'Joe County Report- Intacct'!P35</f>
        <v>0</v>
      </c>
      <c r="AJ33" s="64"/>
      <c r="AK33" s="43" t="str">
        <f t="shared" si="11"/>
        <v/>
      </c>
      <c r="AL33" s="40"/>
      <c r="AM33" s="40"/>
      <c r="AN33" s="60"/>
      <c r="AO33" s="40"/>
      <c r="AP33" s="60"/>
      <c r="AQ33" s="40"/>
      <c r="AR33" s="60"/>
      <c r="AS33" s="43"/>
      <c r="AT33" s="40"/>
      <c r="AU33" s="40">
        <f t="shared" si="6"/>
        <v>0</v>
      </c>
      <c r="AV33" s="60"/>
      <c r="AW33" s="40">
        <f t="shared" si="7"/>
        <v>0</v>
      </c>
      <c r="AX33" s="60"/>
      <c r="AY33" s="40">
        <f t="shared" si="8"/>
        <v>0</v>
      </c>
      <c r="AZ33" s="60"/>
      <c r="BA33" s="43" t="str">
        <f t="shared" si="9"/>
        <v/>
      </c>
    </row>
    <row r="34" spans="2:53" x14ac:dyDescent="0.2">
      <c r="B34" s="57" t="s">
        <v>412</v>
      </c>
      <c r="C34" s="57"/>
      <c r="D34" s="57"/>
      <c r="E34" s="58">
        <v>6100</v>
      </c>
      <c r="F34" s="57"/>
      <c r="G34" s="62">
        <f>+'Joe County Report- Intacct'!$B$36</f>
        <v>74669</v>
      </c>
      <c r="H34" s="63"/>
      <c r="I34" s="182">
        <f>+'Joe County Report- Intacct'!$C$36</f>
        <v>382833</v>
      </c>
      <c r="J34" s="63"/>
      <c r="K34" s="49">
        <f>+'Joe County Report- Intacct'!$D$36-125000</f>
        <v>382996</v>
      </c>
      <c r="L34" s="63"/>
      <c r="M34" s="52">
        <f t="shared" si="10"/>
        <v>0.99957440808781295</v>
      </c>
      <c r="N34" s="40"/>
      <c r="O34" s="40">
        <f>+'Joe County Report- Intacct'!F36</f>
        <v>0</v>
      </c>
      <c r="P34" s="60"/>
      <c r="Q34" s="40">
        <f>+'Joe County Report- Intacct'!G36</f>
        <v>0</v>
      </c>
      <c r="R34" s="60"/>
      <c r="S34" s="40">
        <f>+'Joe County Report- Intacct'!H36</f>
        <v>0</v>
      </c>
      <c r="T34" s="60"/>
      <c r="U34" s="43" t="str">
        <f t="shared" si="4"/>
        <v>%</v>
      </c>
      <c r="V34" s="40"/>
      <c r="W34" s="40">
        <f>+'Joe County Report- Intacct'!J36</f>
        <v>0</v>
      </c>
      <c r="X34" s="64"/>
      <c r="Y34" s="40">
        <f>+'Joe County Report- Intacct'!K36</f>
        <v>0</v>
      </c>
      <c r="Z34" s="64"/>
      <c r="AA34" s="40">
        <f>+'Joe County Report- Intacct'!L36</f>
        <v>0</v>
      </c>
      <c r="AB34" s="60"/>
      <c r="AC34" s="43" t="str">
        <f t="shared" si="5"/>
        <v>%</v>
      </c>
      <c r="AD34" s="40"/>
      <c r="AE34" s="40">
        <f>+'Joe County Report- Intacct'!N36</f>
        <v>0</v>
      </c>
      <c r="AF34" s="64"/>
      <c r="AG34" s="40">
        <f>+'Joe County Report- Intacct'!O36</f>
        <v>0</v>
      </c>
      <c r="AH34" s="64"/>
      <c r="AI34" s="40">
        <f>+'Joe County Report- Intacct'!P36</f>
        <v>0</v>
      </c>
      <c r="AJ34" s="64"/>
      <c r="AK34" s="43" t="str">
        <f t="shared" si="11"/>
        <v/>
      </c>
      <c r="AL34" s="40"/>
      <c r="AM34" s="40"/>
      <c r="AN34" s="60"/>
      <c r="AO34" s="40"/>
      <c r="AP34" s="60"/>
      <c r="AQ34" s="40"/>
      <c r="AR34" s="60"/>
      <c r="AS34" s="43"/>
      <c r="AT34" s="40"/>
      <c r="AU34" s="40">
        <f t="shared" si="6"/>
        <v>74669</v>
      </c>
      <c r="AV34" s="60"/>
      <c r="AW34" s="40">
        <f t="shared" si="7"/>
        <v>382833</v>
      </c>
      <c r="AX34" s="60"/>
      <c r="AY34" s="40">
        <f t="shared" si="8"/>
        <v>382996</v>
      </c>
      <c r="AZ34" s="60"/>
      <c r="BA34" s="43">
        <f t="shared" si="9"/>
        <v>0.99957440808781295</v>
      </c>
    </row>
    <row r="35" spans="2:53" x14ac:dyDescent="0.2">
      <c r="B35" s="57" t="s">
        <v>413</v>
      </c>
      <c r="C35" s="57"/>
      <c r="D35" s="57"/>
      <c r="E35" s="58">
        <v>6200</v>
      </c>
      <c r="F35" s="57"/>
      <c r="G35" s="62">
        <f>+'Joe County Report- Intacct'!$B$37</f>
        <v>4271</v>
      </c>
      <c r="H35" s="63"/>
      <c r="I35" s="182">
        <f>+'Joe County Report- Intacct'!$C$37</f>
        <v>18833</v>
      </c>
      <c r="J35" s="63"/>
      <c r="K35" s="49">
        <f>+'Joe County Report- Intacct'!$D$37+12500</f>
        <v>18930</v>
      </c>
      <c r="L35" s="63"/>
      <c r="M35" s="52">
        <f t="shared" si="10"/>
        <v>0.99487585842577919</v>
      </c>
      <c r="N35" s="49"/>
      <c r="O35" s="49">
        <f>+'Joe County Report- Intacct'!F37</f>
        <v>0</v>
      </c>
      <c r="P35" s="63"/>
      <c r="Q35" s="49">
        <f>+'Joe County Report- Intacct'!G37</f>
        <v>0</v>
      </c>
      <c r="R35" s="63"/>
      <c r="S35" s="49">
        <f>+'Joe County Report- Intacct'!H37</f>
        <v>0</v>
      </c>
      <c r="T35" s="63"/>
      <c r="U35" s="52" t="str">
        <f t="shared" si="4"/>
        <v>%</v>
      </c>
      <c r="V35" s="49"/>
      <c r="W35" s="49">
        <f>+'Joe County Report- Intacct'!J37</f>
        <v>0</v>
      </c>
      <c r="X35" s="65"/>
      <c r="Y35" s="49">
        <f>+'Joe County Report- Intacct'!K37</f>
        <v>0</v>
      </c>
      <c r="Z35" s="65"/>
      <c r="AA35" s="49">
        <f>+'Joe County Report- Intacct'!L37</f>
        <v>0</v>
      </c>
      <c r="AB35" s="63"/>
      <c r="AC35" s="52" t="str">
        <f t="shared" si="5"/>
        <v>%</v>
      </c>
      <c r="AD35" s="49"/>
      <c r="AE35" s="49">
        <f>+'Joe County Report- Intacct'!N37</f>
        <v>0</v>
      </c>
      <c r="AF35" s="65"/>
      <c r="AG35" s="49">
        <f>+'Joe County Report- Intacct'!O37</f>
        <v>0</v>
      </c>
      <c r="AH35" s="65"/>
      <c r="AI35" s="49">
        <f>+'Joe County Report- Intacct'!P37</f>
        <v>0</v>
      </c>
      <c r="AJ35" s="65"/>
      <c r="AK35" s="52" t="str">
        <f t="shared" si="11"/>
        <v/>
      </c>
      <c r="AL35" s="49"/>
      <c r="AM35" s="49"/>
      <c r="AN35" s="63"/>
      <c r="AO35" s="49"/>
      <c r="AP35" s="63"/>
      <c r="AQ35" s="49"/>
      <c r="AR35" s="63"/>
      <c r="AS35" s="52"/>
      <c r="AT35" s="49"/>
      <c r="AU35" s="49">
        <f t="shared" si="6"/>
        <v>4271</v>
      </c>
      <c r="AV35" s="63"/>
      <c r="AW35" s="49">
        <f t="shared" si="7"/>
        <v>18833</v>
      </c>
      <c r="AX35" s="63"/>
      <c r="AY35" s="49">
        <f t="shared" si="8"/>
        <v>18930</v>
      </c>
      <c r="AZ35" s="63"/>
      <c r="BA35" s="52">
        <f t="shared" si="9"/>
        <v>0.99487585842577919</v>
      </c>
    </row>
    <row r="36" spans="2:53" x14ac:dyDescent="0.2">
      <c r="B36" s="57" t="s">
        <v>414</v>
      </c>
      <c r="C36" s="57"/>
      <c r="D36" s="57"/>
      <c r="E36" s="58">
        <v>6300</v>
      </c>
      <c r="F36" s="57"/>
      <c r="G36" s="62">
        <f>+'Joe County Report- Intacct'!$B$38</f>
        <v>0</v>
      </c>
      <c r="H36" s="63"/>
      <c r="I36" s="182">
        <f>+'Joe County Report- Intacct'!$C$38</f>
        <v>0</v>
      </c>
      <c r="J36" s="63"/>
      <c r="K36" s="49">
        <f>+'Joe County Report- Intacct'!$D$38</f>
        <v>0</v>
      </c>
      <c r="L36" s="63"/>
      <c r="M36" s="52" t="str">
        <f t="shared" si="10"/>
        <v>%</v>
      </c>
      <c r="N36" s="40"/>
      <c r="O36" s="40">
        <f>+'Joe County Report- Intacct'!F38</f>
        <v>0</v>
      </c>
      <c r="P36" s="60"/>
      <c r="Q36" s="40">
        <f>+'Joe County Report- Intacct'!G38</f>
        <v>0</v>
      </c>
      <c r="R36" s="60"/>
      <c r="S36" s="40">
        <f>+'Joe County Report- Intacct'!H38</f>
        <v>0</v>
      </c>
      <c r="T36" s="60"/>
      <c r="U36" s="43" t="str">
        <f t="shared" si="4"/>
        <v>%</v>
      </c>
      <c r="V36" s="40"/>
      <c r="W36" s="40">
        <f>+'Joe County Report- Intacct'!J38</f>
        <v>0</v>
      </c>
      <c r="X36" s="64"/>
      <c r="Y36" s="40">
        <f>+'Joe County Report- Intacct'!K38</f>
        <v>0</v>
      </c>
      <c r="Z36" s="64"/>
      <c r="AA36" s="40">
        <f>+'Joe County Report- Intacct'!L38</f>
        <v>0</v>
      </c>
      <c r="AB36" s="60"/>
      <c r="AC36" s="43" t="str">
        <f t="shared" si="5"/>
        <v>%</v>
      </c>
      <c r="AD36" s="40"/>
      <c r="AE36" s="40">
        <f>+'Joe County Report- Intacct'!N38</f>
        <v>0</v>
      </c>
      <c r="AF36" s="64"/>
      <c r="AG36" s="40">
        <f>+'Joe County Report- Intacct'!O38</f>
        <v>0</v>
      </c>
      <c r="AH36" s="64"/>
      <c r="AI36" s="40">
        <f>+'Joe County Report- Intacct'!P38</f>
        <v>0</v>
      </c>
      <c r="AJ36" s="64"/>
      <c r="AK36" s="43" t="str">
        <f t="shared" si="11"/>
        <v/>
      </c>
      <c r="AL36" s="40"/>
      <c r="AM36" s="40"/>
      <c r="AN36" s="60"/>
      <c r="AO36" s="40"/>
      <c r="AP36" s="60"/>
      <c r="AQ36" s="40"/>
      <c r="AR36" s="60"/>
      <c r="AS36" s="43"/>
      <c r="AT36" s="40"/>
      <c r="AU36" s="40">
        <f t="shared" si="6"/>
        <v>0</v>
      </c>
      <c r="AV36" s="60"/>
      <c r="AW36" s="40">
        <f t="shared" si="7"/>
        <v>0</v>
      </c>
      <c r="AX36" s="60"/>
      <c r="AY36" s="40">
        <f t="shared" si="8"/>
        <v>0</v>
      </c>
      <c r="AZ36" s="60"/>
      <c r="BA36" s="43" t="str">
        <f t="shared" si="9"/>
        <v/>
      </c>
    </row>
    <row r="37" spans="2:53" x14ac:dyDescent="0.2">
      <c r="B37" s="57" t="s">
        <v>415</v>
      </c>
      <c r="C37" s="57"/>
      <c r="D37" s="57"/>
      <c r="E37" s="58">
        <v>6400</v>
      </c>
      <c r="F37" s="57"/>
      <c r="G37" s="62">
        <f>+'Joe County Report- Intacct'!$B$39</f>
        <v>0</v>
      </c>
      <c r="H37" s="63"/>
      <c r="I37" s="182">
        <f>+'Joe County Report- Intacct'!$C$39</f>
        <v>0</v>
      </c>
      <c r="J37" s="63"/>
      <c r="K37" s="49">
        <f>+'Joe County Report- Intacct'!$D$39</f>
        <v>0</v>
      </c>
      <c r="L37" s="63"/>
      <c r="M37" s="52" t="str">
        <f t="shared" si="10"/>
        <v>%</v>
      </c>
      <c r="N37" s="40"/>
      <c r="O37" s="40">
        <f>+'Joe County Report- Intacct'!F39</f>
        <v>0</v>
      </c>
      <c r="P37" s="60"/>
      <c r="Q37" s="40">
        <f>+'Joe County Report- Intacct'!G39</f>
        <v>0</v>
      </c>
      <c r="R37" s="60"/>
      <c r="S37" s="40">
        <f>+'Joe County Report- Intacct'!H39</f>
        <v>0</v>
      </c>
      <c r="T37" s="60"/>
      <c r="U37" s="43" t="str">
        <f t="shared" si="4"/>
        <v>%</v>
      </c>
      <c r="V37" s="40"/>
      <c r="W37" s="40">
        <f>+'Joe County Report- Intacct'!J39</f>
        <v>0</v>
      </c>
      <c r="X37" s="64"/>
      <c r="Y37" s="40">
        <f>+'Joe County Report- Intacct'!K39</f>
        <v>0</v>
      </c>
      <c r="Z37" s="64"/>
      <c r="AA37" s="40">
        <f>+'Joe County Report- Intacct'!L39</f>
        <v>0</v>
      </c>
      <c r="AB37" s="60"/>
      <c r="AC37" s="43" t="str">
        <f t="shared" si="5"/>
        <v>%</v>
      </c>
      <c r="AD37" s="40"/>
      <c r="AE37" s="40">
        <f>+'Joe County Report- Intacct'!N39</f>
        <v>0</v>
      </c>
      <c r="AF37" s="64"/>
      <c r="AG37" s="40">
        <f>+'Joe County Report- Intacct'!O39</f>
        <v>0</v>
      </c>
      <c r="AH37" s="64"/>
      <c r="AI37" s="40">
        <f>+'Joe County Report- Intacct'!P39</f>
        <v>0</v>
      </c>
      <c r="AJ37" s="64"/>
      <c r="AK37" s="43" t="str">
        <f t="shared" si="11"/>
        <v/>
      </c>
      <c r="AL37" s="40"/>
      <c r="AM37" s="40"/>
      <c r="AN37" s="60"/>
      <c r="AO37" s="40"/>
      <c r="AP37" s="60"/>
      <c r="AQ37" s="40"/>
      <c r="AR37" s="60"/>
      <c r="AS37" s="43"/>
      <c r="AT37" s="40"/>
      <c r="AU37" s="40">
        <f t="shared" si="6"/>
        <v>0</v>
      </c>
      <c r="AV37" s="60"/>
      <c r="AW37" s="40">
        <f t="shared" si="7"/>
        <v>0</v>
      </c>
      <c r="AX37" s="60"/>
      <c r="AY37" s="40">
        <f t="shared" si="8"/>
        <v>0</v>
      </c>
      <c r="AZ37" s="60"/>
      <c r="BA37" s="43" t="str">
        <f t="shared" si="9"/>
        <v/>
      </c>
    </row>
    <row r="38" spans="2:53" x14ac:dyDescent="0.2">
      <c r="B38" s="57" t="s">
        <v>416</v>
      </c>
      <c r="C38" s="57"/>
      <c r="D38" s="57"/>
      <c r="E38" s="58">
        <v>6500</v>
      </c>
      <c r="F38" s="57"/>
      <c r="G38" s="62">
        <f>+'Joe County Report- Intacct'!$B$40</f>
        <v>40944</v>
      </c>
      <c r="H38" s="63"/>
      <c r="I38" s="182">
        <f>+'Joe County Report- Intacct'!$C$40</f>
        <v>164862</v>
      </c>
      <c r="J38" s="63"/>
      <c r="K38" s="49">
        <f>+'Joe County Report- Intacct'!$D$40+13000</f>
        <v>165133</v>
      </c>
      <c r="L38" s="63"/>
      <c r="M38" s="52">
        <f t="shared" si="10"/>
        <v>0.99835889858477711</v>
      </c>
      <c r="N38" s="40"/>
      <c r="O38" s="40">
        <f>+'Joe County Report- Intacct'!F40</f>
        <v>0</v>
      </c>
      <c r="P38" s="60"/>
      <c r="Q38" s="40">
        <f>+'Joe County Report- Intacct'!G40</f>
        <v>0</v>
      </c>
      <c r="R38" s="60"/>
      <c r="S38" s="40">
        <f>+'Joe County Report- Intacct'!H40</f>
        <v>0</v>
      </c>
      <c r="T38" s="60"/>
      <c r="U38" s="43" t="str">
        <f t="shared" si="4"/>
        <v>%</v>
      </c>
      <c r="V38" s="40"/>
      <c r="W38" s="40">
        <f>+'Joe County Report- Intacct'!J40</f>
        <v>0</v>
      </c>
      <c r="X38" s="64"/>
      <c r="Y38" s="40">
        <f>+'Joe County Report- Intacct'!K40</f>
        <v>0</v>
      </c>
      <c r="Z38" s="64"/>
      <c r="AA38" s="40">
        <f>+'Joe County Report- Intacct'!L40</f>
        <v>0</v>
      </c>
      <c r="AB38" s="60"/>
      <c r="AC38" s="43" t="str">
        <f t="shared" si="5"/>
        <v>%</v>
      </c>
      <c r="AD38" s="40"/>
      <c r="AE38" s="40">
        <f>+'Joe County Report- Intacct'!N40</f>
        <v>0</v>
      </c>
      <c r="AF38" s="64"/>
      <c r="AG38" s="40">
        <f>+'Joe County Report- Intacct'!O40</f>
        <v>0</v>
      </c>
      <c r="AH38" s="64"/>
      <c r="AI38" s="40">
        <f>+'Joe County Report- Intacct'!P40</f>
        <v>0</v>
      </c>
      <c r="AJ38" s="64"/>
      <c r="AK38" s="43" t="str">
        <f t="shared" si="11"/>
        <v/>
      </c>
      <c r="AL38" s="40"/>
      <c r="AM38" s="40"/>
      <c r="AN38" s="60"/>
      <c r="AO38" s="40"/>
      <c r="AP38" s="60"/>
      <c r="AQ38" s="40"/>
      <c r="AR38" s="60"/>
      <c r="AS38" s="43"/>
      <c r="AT38" s="40"/>
      <c r="AU38" s="40">
        <f t="shared" si="6"/>
        <v>40944</v>
      </c>
      <c r="AV38" s="60"/>
      <c r="AW38" s="40">
        <f t="shared" si="7"/>
        <v>164862</v>
      </c>
      <c r="AX38" s="60"/>
      <c r="AY38" s="40">
        <f t="shared" si="8"/>
        <v>165133</v>
      </c>
      <c r="AZ38" s="60"/>
      <c r="BA38" s="43">
        <f t="shared" si="9"/>
        <v>0.99835889858477711</v>
      </c>
    </row>
    <row r="39" spans="2:53" x14ac:dyDescent="0.2">
      <c r="B39" s="57" t="s">
        <v>41</v>
      </c>
      <c r="C39" s="57"/>
      <c r="D39" s="57"/>
      <c r="E39" s="58">
        <v>7100</v>
      </c>
      <c r="F39" s="57"/>
      <c r="G39" s="99">
        <f>+'Joe County Report- Intacct'!$B$41</f>
        <v>0</v>
      </c>
      <c r="H39" s="50"/>
      <c r="I39" s="183">
        <f>+'Joe County Report- Intacct'!C41</f>
        <v>37439</v>
      </c>
      <c r="J39" s="50"/>
      <c r="K39" s="49">
        <f>+'Joe County Report- Intacct'!$D$41</f>
        <v>37439</v>
      </c>
      <c r="L39" s="50"/>
      <c r="M39" s="52">
        <f t="shared" si="10"/>
        <v>1</v>
      </c>
      <c r="N39" s="40"/>
      <c r="O39" s="40">
        <f>+'Joe County Report- Intacct'!F41</f>
        <v>0</v>
      </c>
      <c r="P39" s="44"/>
      <c r="Q39" s="40">
        <f>+'Joe County Report- Intacct'!G41</f>
        <v>0</v>
      </c>
      <c r="R39" s="44"/>
      <c r="S39" s="40">
        <f>+'Joe County Report- Intacct'!H41</f>
        <v>0</v>
      </c>
      <c r="T39" s="44"/>
      <c r="U39" s="43" t="str">
        <f t="shared" si="4"/>
        <v>%</v>
      </c>
      <c r="V39" s="40"/>
      <c r="W39" s="40">
        <f>+'Joe County Report- Intacct'!J41</f>
        <v>0</v>
      </c>
      <c r="X39" s="64"/>
      <c r="Y39" s="40">
        <f>+'Joe County Report- Intacct'!K41</f>
        <v>0</v>
      </c>
      <c r="Z39" s="64"/>
      <c r="AA39" s="40">
        <f>+'Joe County Report- Intacct'!L41</f>
        <v>0</v>
      </c>
      <c r="AB39" s="44"/>
      <c r="AC39" s="43" t="str">
        <f t="shared" si="5"/>
        <v>%</v>
      </c>
      <c r="AD39" s="40"/>
      <c r="AE39" s="40">
        <f>+'Joe County Report- Intacct'!N41</f>
        <v>0</v>
      </c>
      <c r="AF39" s="64"/>
      <c r="AG39" s="40">
        <f>+'Joe County Report- Intacct'!O41</f>
        <v>0</v>
      </c>
      <c r="AH39" s="64"/>
      <c r="AI39" s="40">
        <f>+'Joe County Report- Intacct'!P41</f>
        <v>0</v>
      </c>
      <c r="AJ39" s="64"/>
      <c r="AK39" s="43" t="str">
        <f t="shared" si="11"/>
        <v/>
      </c>
      <c r="AL39" s="40"/>
      <c r="AM39" s="40"/>
      <c r="AN39" s="44"/>
      <c r="AO39" s="40"/>
      <c r="AP39" s="44"/>
      <c r="AQ39" s="40"/>
      <c r="AR39" s="44"/>
      <c r="AS39" s="43" t="str">
        <f>IF(AQ39=0,"",AO39/AQ39)</f>
        <v/>
      </c>
      <c r="AT39" s="40"/>
      <c r="AU39" s="40">
        <f t="shared" si="6"/>
        <v>0</v>
      </c>
      <c r="AV39" s="44"/>
      <c r="AW39" s="40">
        <f t="shared" si="7"/>
        <v>37439</v>
      </c>
      <c r="AX39" s="44"/>
      <c r="AY39" s="40">
        <f t="shared" si="8"/>
        <v>37439</v>
      </c>
      <c r="AZ39" s="44"/>
      <c r="BA39" s="43">
        <f t="shared" si="9"/>
        <v>1</v>
      </c>
    </row>
    <row r="40" spans="2:53" x14ac:dyDescent="0.2">
      <c r="B40" s="57" t="s">
        <v>417</v>
      </c>
      <c r="C40" s="57"/>
      <c r="D40" s="57"/>
      <c r="E40" s="58" t="s">
        <v>418</v>
      </c>
      <c r="F40" s="57"/>
      <c r="G40" s="113">
        <f>+'Joe County Report- Intacct'!$B$42</f>
        <v>0</v>
      </c>
      <c r="I40" s="184">
        <f>+'Joe County Report- Intacct'!$C$42</f>
        <v>0</v>
      </c>
      <c r="K40" s="49">
        <f>+'Joe County Report- Intacct'!$D$42</f>
        <v>0</v>
      </c>
      <c r="M40" s="52" t="str">
        <f t="shared" si="10"/>
        <v>%</v>
      </c>
      <c r="N40" s="40"/>
      <c r="O40" s="40">
        <f>+'Joe County Report- Intacct'!F42</f>
        <v>0</v>
      </c>
      <c r="Q40" s="40">
        <f>+'Joe County Report- Intacct'!G42</f>
        <v>0</v>
      </c>
      <c r="S40" s="40">
        <f>+'Joe County Report- Intacct'!H42</f>
        <v>0</v>
      </c>
      <c r="U40" s="43" t="str">
        <f t="shared" si="4"/>
        <v>%</v>
      </c>
      <c r="V40" s="40"/>
      <c r="W40" s="40">
        <f>+'Joe County Report- Intacct'!J42</f>
        <v>0</v>
      </c>
      <c r="X40" s="64"/>
      <c r="Y40" s="40">
        <f>+'Joe County Report- Intacct'!K42</f>
        <v>0</v>
      </c>
      <c r="Z40" s="64"/>
      <c r="AA40" s="40">
        <f>+'Joe County Report- Intacct'!L42</f>
        <v>0</v>
      </c>
      <c r="AC40" s="43" t="str">
        <f t="shared" si="5"/>
        <v>%</v>
      </c>
      <c r="AD40" s="40"/>
      <c r="AE40" s="40">
        <f>+'Joe County Report- Intacct'!N42</f>
        <v>0</v>
      </c>
      <c r="AF40" s="64"/>
      <c r="AG40" s="40">
        <f>+'Joe County Report- Intacct'!O42</f>
        <v>0</v>
      </c>
      <c r="AH40" s="64"/>
      <c r="AI40" s="40">
        <f>+'Joe County Report- Intacct'!P42</f>
        <v>0</v>
      </c>
      <c r="AJ40" s="64"/>
      <c r="AK40" s="43" t="str">
        <f t="shared" si="11"/>
        <v/>
      </c>
      <c r="AL40" s="40"/>
      <c r="AM40" s="40"/>
      <c r="AO40" s="40"/>
      <c r="AQ40" s="40"/>
      <c r="AS40" s="43"/>
      <c r="AT40" s="40"/>
      <c r="AU40" s="40">
        <f t="shared" si="6"/>
        <v>0</v>
      </c>
      <c r="AW40" s="40">
        <f t="shared" si="7"/>
        <v>0</v>
      </c>
      <c r="AY40" s="40">
        <f t="shared" si="8"/>
        <v>0</v>
      </c>
      <c r="BA40" s="43" t="str">
        <f t="shared" si="9"/>
        <v/>
      </c>
    </row>
    <row r="41" spans="2:53" x14ac:dyDescent="0.2">
      <c r="B41" s="57" t="s">
        <v>419</v>
      </c>
      <c r="C41" s="57"/>
      <c r="D41" s="57"/>
      <c r="E41" s="58">
        <v>7200</v>
      </c>
      <c r="F41" s="57"/>
      <c r="G41" s="113">
        <f>+'Joe County Report- Intacct'!$B$43</f>
        <v>51855</v>
      </c>
      <c r="I41" s="184">
        <f>+'Joe County Report- Intacct'!$C$43</f>
        <v>181812</v>
      </c>
      <c r="K41" s="49">
        <f>+'Joe County Report- Intacct'!$D$43-12000</f>
        <v>181635</v>
      </c>
      <c r="M41" s="52">
        <f t="shared" si="10"/>
        <v>1.0009744817904038</v>
      </c>
      <c r="N41" s="49"/>
      <c r="O41" s="49">
        <f>+'Joe County Report- Intacct'!F43</f>
        <v>0</v>
      </c>
      <c r="Q41" s="49">
        <f>+'Joe County Report- Intacct'!G43</f>
        <v>0</v>
      </c>
      <c r="S41" s="49">
        <f>+'Joe County Report- Intacct'!H43</f>
        <v>0</v>
      </c>
      <c r="U41" s="52" t="str">
        <f t="shared" si="4"/>
        <v>%</v>
      </c>
      <c r="V41" s="49"/>
      <c r="W41" s="49">
        <f>+'Joe County Report- Intacct'!J43</f>
        <v>0</v>
      </c>
      <c r="X41" s="65"/>
      <c r="Y41" s="49">
        <f>+'Joe County Report- Intacct'!K43</f>
        <v>0</v>
      </c>
      <c r="Z41" s="65"/>
      <c r="AA41" s="49">
        <f>+'Joe County Report- Intacct'!L43</f>
        <v>0</v>
      </c>
      <c r="AC41" s="52" t="str">
        <f t="shared" si="5"/>
        <v>%</v>
      </c>
      <c r="AD41" s="49"/>
      <c r="AE41" s="49">
        <f>+'Joe County Report- Intacct'!N43</f>
        <v>0</v>
      </c>
      <c r="AF41" s="65"/>
      <c r="AG41" s="49">
        <f>+'Joe County Report- Intacct'!O43</f>
        <v>0</v>
      </c>
      <c r="AH41" s="65"/>
      <c r="AI41" s="49">
        <f>+'Joe County Report- Intacct'!P43</f>
        <v>0</v>
      </c>
      <c r="AJ41" s="65"/>
      <c r="AK41" s="52" t="str">
        <f t="shared" si="11"/>
        <v/>
      </c>
      <c r="AL41" s="49"/>
      <c r="AM41" s="49"/>
      <c r="AO41" s="49"/>
      <c r="AQ41" s="49"/>
      <c r="AS41" s="52"/>
      <c r="AT41" s="49"/>
      <c r="AU41" s="49">
        <f t="shared" si="6"/>
        <v>51855</v>
      </c>
      <c r="AW41" s="49">
        <f t="shared" si="7"/>
        <v>181812</v>
      </c>
      <c r="AY41" s="49">
        <f t="shared" si="8"/>
        <v>181635</v>
      </c>
      <c r="BA41" s="52">
        <f t="shared" si="9"/>
        <v>1.0009744817904038</v>
      </c>
    </row>
    <row r="42" spans="2:53" x14ac:dyDescent="0.2">
      <c r="B42" s="57" t="s">
        <v>420</v>
      </c>
      <c r="C42" s="57"/>
      <c r="D42" s="57"/>
      <c r="E42" s="58" t="s">
        <v>418</v>
      </c>
      <c r="F42" s="57"/>
      <c r="G42" s="99">
        <f>+'Joe County Report- Intacct'!$B$44</f>
        <v>0</v>
      </c>
      <c r="H42" s="50"/>
      <c r="I42" s="183">
        <f>+'Joe County Report- Intacct'!$C$44</f>
        <v>0</v>
      </c>
      <c r="J42" s="50"/>
      <c r="K42" s="49">
        <f>+'Joe County Report- Intacct'!$D$44</f>
        <v>0</v>
      </c>
      <c r="L42" s="50"/>
      <c r="M42" s="52" t="str">
        <f t="shared" si="10"/>
        <v>%</v>
      </c>
      <c r="N42" s="40"/>
      <c r="O42" s="40">
        <f>+'Joe County Report- Intacct'!F44</f>
        <v>0</v>
      </c>
      <c r="P42" s="44"/>
      <c r="Q42" s="40">
        <f>+'Joe County Report- Intacct'!G44</f>
        <v>0</v>
      </c>
      <c r="R42" s="44"/>
      <c r="S42" s="40">
        <f>+'Joe County Report- Intacct'!H44</f>
        <v>0</v>
      </c>
      <c r="T42" s="44"/>
      <c r="U42" s="43" t="str">
        <f t="shared" si="4"/>
        <v>%</v>
      </c>
      <c r="V42" s="40"/>
      <c r="W42" s="40">
        <f>+'Joe County Report- Intacct'!J44</f>
        <v>0</v>
      </c>
      <c r="X42" s="64"/>
      <c r="Y42" s="40">
        <f>+'Joe County Report- Intacct'!K44</f>
        <v>0</v>
      </c>
      <c r="Z42" s="64"/>
      <c r="AA42" s="40">
        <f>+'Joe County Report- Intacct'!L44</f>
        <v>0</v>
      </c>
      <c r="AB42" s="44"/>
      <c r="AC42" s="43" t="str">
        <f t="shared" si="5"/>
        <v>%</v>
      </c>
      <c r="AD42" s="40"/>
      <c r="AE42" s="40">
        <f>+'Joe County Report- Intacct'!N44</f>
        <v>0</v>
      </c>
      <c r="AF42" s="64"/>
      <c r="AG42" s="40">
        <f>+'Joe County Report- Intacct'!O44</f>
        <v>0</v>
      </c>
      <c r="AH42" s="64"/>
      <c r="AI42" s="40">
        <f>+'Joe County Report- Intacct'!P44</f>
        <v>0</v>
      </c>
      <c r="AJ42" s="64"/>
      <c r="AK42" s="43" t="str">
        <f t="shared" si="11"/>
        <v/>
      </c>
      <c r="AL42" s="40"/>
      <c r="AM42" s="40"/>
      <c r="AN42" s="44"/>
      <c r="AO42" s="40"/>
      <c r="AP42" s="44"/>
      <c r="AQ42" s="40"/>
      <c r="AR42" s="44"/>
      <c r="AS42" s="43" t="str">
        <f>IF(AQ42=0,"",AO42/AQ42)</f>
        <v/>
      </c>
      <c r="AT42" s="40"/>
      <c r="AU42" s="40">
        <f t="shared" si="6"/>
        <v>0</v>
      </c>
      <c r="AV42" s="44"/>
      <c r="AW42" s="40">
        <f t="shared" si="7"/>
        <v>0</v>
      </c>
      <c r="AX42" s="44"/>
      <c r="AY42" s="40">
        <f t="shared" si="8"/>
        <v>0</v>
      </c>
      <c r="AZ42" s="44"/>
      <c r="BA42" s="43" t="str">
        <f t="shared" si="9"/>
        <v/>
      </c>
    </row>
    <row r="43" spans="2:53" x14ac:dyDescent="0.2">
      <c r="B43" s="57" t="s">
        <v>421</v>
      </c>
      <c r="C43" s="57"/>
      <c r="D43" s="57"/>
      <c r="E43" s="58">
        <v>7300</v>
      </c>
      <c r="F43" s="57"/>
      <c r="G43" s="99">
        <f>+'Joe County Report- Intacct'!$B$45</f>
        <v>181254</v>
      </c>
      <c r="H43" s="50"/>
      <c r="I43" s="183">
        <f>+'Joe County Report- Intacct'!$C$45</f>
        <v>742911</v>
      </c>
      <c r="J43" s="50"/>
      <c r="K43" s="49">
        <f>+'Joe County Report- Intacct'!$D$45+55000</f>
        <v>743298</v>
      </c>
      <c r="L43" s="50"/>
      <c r="M43" s="52">
        <f t="shared" si="10"/>
        <v>0.99947934744880251</v>
      </c>
      <c r="N43" s="40"/>
      <c r="O43" s="40">
        <f>+'Joe County Report- Intacct'!F45</f>
        <v>0</v>
      </c>
      <c r="P43" s="44"/>
      <c r="Q43" s="40">
        <f>+'Joe County Report- Intacct'!G45</f>
        <v>0</v>
      </c>
      <c r="R43" s="44"/>
      <c r="S43" s="40">
        <f>+'Joe County Report- Intacct'!H45</f>
        <v>0</v>
      </c>
      <c r="T43" s="44"/>
      <c r="U43" s="43" t="str">
        <f t="shared" si="4"/>
        <v>%</v>
      </c>
      <c r="V43" s="40"/>
      <c r="W43" s="40">
        <f>+'Joe County Report- Intacct'!J45</f>
        <v>0</v>
      </c>
      <c r="X43" s="64"/>
      <c r="Y43" s="40">
        <f>+'Joe County Report- Intacct'!K45</f>
        <v>0</v>
      </c>
      <c r="Z43" s="64"/>
      <c r="AA43" s="40">
        <f>+'Joe County Report- Intacct'!L45</f>
        <v>0</v>
      </c>
      <c r="AB43" s="44"/>
      <c r="AC43" s="43" t="str">
        <f t="shared" si="5"/>
        <v>%</v>
      </c>
      <c r="AD43" s="40"/>
      <c r="AE43" s="40">
        <f>+'Joe County Report- Intacct'!N45</f>
        <v>0</v>
      </c>
      <c r="AF43" s="64"/>
      <c r="AG43" s="40">
        <f>+'Joe County Report- Intacct'!O45</f>
        <v>0</v>
      </c>
      <c r="AH43" s="64"/>
      <c r="AI43" s="40">
        <f>+'Joe County Report- Intacct'!P45</f>
        <v>0</v>
      </c>
      <c r="AJ43" s="64"/>
      <c r="AK43" s="43" t="str">
        <f t="shared" si="11"/>
        <v/>
      </c>
      <c r="AL43" s="40"/>
      <c r="AM43" s="40"/>
      <c r="AN43" s="44"/>
      <c r="AO43" s="40"/>
      <c r="AP43" s="44"/>
      <c r="AQ43" s="40"/>
      <c r="AR43" s="44"/>
      <c r="AS43" s="43"/>
      <c r="AT43" s="40"/>
      <c r="AU43" s="40">
        <f t="shared" si="6"/>
        <v>181254</v>
      </c>
      <c r="AV43" s="44"/>
      <c r="AW43" s="40">
        <f t="shared" si="7"/>
        <v>742911</v>
      </c>
      <c r="AX43" s="44"/>
      <c r="AY43" s="40">
        <f t="shared" si="8"/>
        <v>743298</v>
      </c>
      <c r="AZ43" s="44"/>
      <c r="BA43" s="43">
        <f t="shared" si="9"/>
        <v>0.99947934744880251</v>
      </c>
    </row>
    <row r="44" spans="2:53" x14ac:dyDescent="0.2">
      <c r="B44" s="57" t="s">
        <v>422</v>
      </c>
      <c r="C44" s="57"/>
      <c r="D44" s="57"/>
      <c r="E44" s="58" t="s">
        <v>423</v>
      </c>
      <c r="F44" s="57"/>
      <c r="G44" s="99">
        <f>+'Joe County Report- Intacct'!$B$46</f>
        <v>0</v>
      </c>
      <c r="H44" s="50"/>
      <c r="I44" s="183">
        <f>+'Joe County Report- Intacct'!$C$46</f>
        <v>0</v>
      </c>
      <c r="J44" s="50"/>
      <c r="K44" s="49">
        <f>+'Joe County Report- Intacct'!$D$46</f>
        <v>0</v>
      </c>
      <c r="L44" s="50"/>
      <c r="M44" s="52" t="str">
        <f t="shared" si="10"/>
        <v>%</v>
      </c>
      <c r="N44" s="40"/>
      <c r="O44" s="40">
        <f>+'Joe County Report- Intacct'!F46</f>
        <v>0</v>
      </c>
      <c r="P44" s="44"/>
      <c r="Q44" s="40">
        <f>+'Joe County Report- Intacct'!G46</f>
        <v>0</v>
      </c>
      <c r="R44" s="44"/>
      <c r="S44" s="40">
        <f>+'Joe County Report- Intacct'!H46</f>
        <v>0</v>
      </c>
      <c r="T44" s="44"/>
      <c r="U44" s="43" t="str">
        <f t="shared" si="4"/>
        <v>%</v>
      </c>
      <c r="V44" s="40"/>
      <c r="W44" s="40">
        <f>+'Joe County Report- Intacct'!J46</f>
        <v>0</v>
      </c>
      <c r="X44" s="64"/>
      <c r="Y44" s="40">
        <f>+'Joe County Report- Intacct'!K46</f>
        <v>0</v>
      </c>
      <c r="Z44" s="64"/>
      <c r="AA44" s="40">
        <f>+'Joe County Report- Intacct'!L46</f>
        <v>0</v>
      </c>
      <c r="AB44" s="44"/>
      <c r="AC44" s="43" t="str">
        <f t="shared" si="5"/>
        <v>%</v>
      </c>
      <c r="AD44" s="40"/>
      <c r="AE44" s="40">
        <f>+'Joe County Report- Intacct'!N46</f>
        <v>0</v>
      </c>
      <c r="AF44" s="64"/>
      <c r="AG44" s="40">
        <f>+'Joe County Report- Intacct'!O46</f>
        <v>0</v>
      </c>
      <c r="AH44" s="64"/>
      <c r="AI44" s="40">
        <f>+'Joe County Report- Intacct'!P46</f>
        <v>0</v>
      </c>
      <c r="AJ44" s="64"/>
      <c r="AK44" s="43" t="str">
        <f t="shared" si="11"/>
        <v/>
      </c>
      <c r="AL44" s="40"/>
      <c r="AM44" s="40"/>
      <c r="AN44" s="44"/>
      <c r="AO44" s="40"/>
      <c r="AP44" s="44"/>
      <c r="AQ44" s="40"/>
      <c r="AR44" s="44"/>
      <c r="AS44" s="43" t="str">
        <f>IF(AQ44=0,"",AO44/AQ44)</f>
        <v/>
      </c>
      <c r="AT44" s="40"/>
      <c r="AU44" s="40">
        <f t="shared" si="6"/>
        <v>0</v>
      </c>
      <c r="AV44" s="44"/>
      <c r="AW44" s="40">
        <f t="shared" si="7"/>
        <v>0</v>
      </c>
      <c r="AX44" s="44"/>
      <c r="AY44" s="40">
        <f t="shared" si="8"/>
        <v>0</v>
      </c>
      <c r="AZ44" s="44"/>
      <c r="BA44" s="43" t="str">
        <f t="shared" si="9"/>
        <v/>
      </c>
    </row>
    <row r="45" spans="2:53" x14ac:dyDescent="0.2">
      <c r="B45" s="57" t="s">
        <v>424</v>
      </c>
      <c r="C45" s="57"/>
      <c r="D45" s="57"/>
      <c r="E45" s="58">
        <v>7400</v>
      </c>
      <c r="F45" s="57"/>
      <c r="G45" s="99">
        <f>+'Joe County Report- Intacct'!$B$47</f>
        <v>1165248</v>
      </c>
      <c r="H45" s="50"/>
      <c r="I45" s="183">
        <f>+'Joe County Report- Intacct'!$C$47+2</f>
        <v>5255888</v>
      </c>
      <c r="J45" s="50"/>
      <c r="K45" s="49">
        <f>+'Joe County Report- Intacct'!$D$47+4536925-47000+128</f>
        <v>5231019</v>
      </c>
      <c r="L45" s="50"/>
      <c r="M45" s="52">
        <f t="shared" si="10"/>
        <v>1.0047541406368434</v>
      </c>
      <c r="N45" s="49"/>
      <c r="O45" s="49">
        <f>+'Joe County Report- Intacct'!F47</f>
        <v>0</v>
      </c>
      <c r="P45" s="50"/>
      <c r="Q45" s="49">
        <f>+'Joe County Report- Intacct'!G47</f>
        <v>0</v>
      </c>
      <c r="R45" s="50"/>
      <c r="S45" s="49">
        <f>+'Joe County Report- Intacct'!H47</f>
        <v>0</v>
      </c>
      <c r="T45" s="50"/>
      <c r="U45" s="52" t="str">
        <f t="shared" si="4"/>
        <v>%</v>
      </c>
      <c r="V45" s="49"/>
      <c r="W45" s="49">
        <f>+'Joe County Report- Intacct'!J47</f>
        <v>0</v>
      </c>
      <c r="X45" s="65"/>
      <c r="Y45" s="49">
        <f>+'Joe County Report- Intacct'!K47</f>
        <v>0</v>
      </c>
      <c r="Z45" s="65"/>
      <c r="AA45" s="49">
        <f>+'Joe County Report- Intacct'!L47</f>
        <v>0</v>
      </c>
      <c r="AB45" s="50"/>
      <c r="AC45" s="52" t="str">
        <f t="shared" si="5"/>
        <v>%</v>
      </c>
      <c r="AD45" s="49"/>
      <c r="AE45" s="49">
        <f>+'Joe County Report- Intacct'!N47</f>
        <v>0</v>
      </c>
      <c r="AF45" s="65"/>
      <c r="AG45" s="49">
        <f>+'Joe County Report- Intacct'!O47</f>
        <v>0</v>
      </c>
      <c r="AH45" s="65"/>
      <c r="AI45" s="49">
        <f>+'Joe County Report- Intacct'!P47</f>
        <v>0</v>
      </c>
      <c r="AJ45" s="65"/>
      <c r="AK45" s="52" t="str">
        <f t="shared" si="11"/>
        <v/>
      </c>
      <c r="AL45" s="49"/>
      <c r="AM45" s="49"/>
      <c r="AN45" s="50"/>
      <c r="AO45" s="49"/>
      <c r="AP45" s="50"/>
      <c r="AQ45" s="49"/>
      <c r="AR45" s="50"/>
      <c r="AS45" s="52"/>
      <c r="AT45" s="49"/>
      <c r="AU45" s="49">
        <f t="shared" si="6"/>
        <v>1165248</v>
      </c>
      <c r="AV45" s="50"/>
      <c r="AW45" s="49">
        <f t="shared" si="7"/>
        <v>5255888</v>
      </c>
      <c r="AX45" s="50"/>
      <c r="AY45" s="49">
        <f t="shared" si="8"/>
        <v>5231019</v>
      </c>
      <c r="AZ45" s="50"/>
      <c r="BA45" s="52">
        <f t="shared" si="9"/>
        <v>1.0047541406368434</v>
      </c>
    </row>
    <row r="46" spans="2:53" x14ac:dyDescent="0.2">
      <c r="B46" s="57" t="s">
        <v>44</v>
      </c>
      <c r="C46" s="57"/>
      <c r="D46" s="57"/>
      <c r="E46" s="58">
        <v>7500</v>
      </c>
      <c r="F46" s="57"/>
      <c r="G46" s="99">
        <f>+'Joe County Report- Intacct'!$B$48</f>
        <v>82093</v>
      </c>
      <c r="H46" s="50"/>
      <c r="I46" s="183">
        <f>+'Joe County Report- Intacct'!$C$48</f>
        <v>340410</v>
      </c>
      <c r="J46" s="50"/>
      <c r="K46" s="49">
        <f>+'Joe County Report- Intacct'!D48+2100</f>
        <v>340420</v>
      </c>
      <c r="L46" s="50"/>
      <c r="M46" s="52">
        <f t="shared" si="10"/>
        <v>0.99997062452264851</v>
      </c>
      <c r="N46" s="40"/>
      <c r="O46" s="40">
        <f>+'Joe County Report- Intacct'!F48</f>
        <v>0</v>
      </c>
      <c r="P46" s="44"/>
      <c r="Q46" s="40">
        <f>+'Joe County Report- Intacct'!G48</f>
        <v>0</v>
      </c>
      <c r="R46" s="44"/>
      <c r="S46" s="40">
        <f>+'Joe County Report- Intacct'!H48</f>
        <v>0</v>
      </c>
      <c r="T46" s="44"/>
      <c r="U46" s="43" t="str">
        <f t="shared" si="4"/>
        <v>%</v>
      </c>
      <c r="V46" s="40"/>
      <c r="W46" s="40">
        <f>+'Joe County Report- Intacct'!J48</f>
        <v>0</v>
      </c>
      <c r="X46" s="64"/>
      <c r="Y46" s="40">
        <f>+'Joe County Report- Intacct'!K48</f>
        <v>0</v>
      </c>
      <c r="Z46" s="64"/>
      <c r="AA46" s="40">
        <f>+'Joe County Report- Intacct'!L48</f>
        <v>0</v>
      </c>
      <c r="AB46" s="44"/>
      <c r="AC46" s="43" t="str">
        <f t="shared" si="5"/>
        <v>%</v>
      </c>
      <c r="AD46" s="40"/>
      <c r="AE46" s="40">
        <f>+'Joe County Report- Intacct'!N48</f>
        <v>0</v>
      </c>
      <c r="AF46" s="64"/>
      <c r="AG46" s="40">
        <f>+'Joe County Report- Intacct'!O48</f>
        <v>0</v>
      </c>
      <c r="AH46" s="64"/>
      <c r="AI46" s="40">
        <f>+'Joe County Report- Intacct'!P48</f>
        <v>0</v>
      </c>
      <c r="AJ46" s="64"/>
      <c r="AK46" s="43" t="str">
        <f t="shared" si="11"/>
        <v/>
      </c>
      <c r="AL46" s="40"/>
      <c r="AM46" s="40"/>
      <c r="AN46" s="44"/>
      <c r="AO46" s="40"/>
      <c r="AP46" s="44"/>
      <c r="AQ46" s="40"/>
      <c r="AR46" s="44"/>
      <c r="AS46" s="43" t="str">
        <f t="shared" ref="AS46:AS56" si="12">IF(AQ46=0,"",AO46/AQ46)</f>
        <v/>
      </c>
      <c r="AT46" s="40"/>
      <c r="AU46" s="40">
        <f t="shared" si="6"/>
        <v>82093</v>
      </c>
      <c r="AV46" s="44"/>
      <c r="AW46" s="40">
        <f t="shared" si="7"/>
        <v>340410</v>
      </c>
      <c r="AX46" s="44"/>
      <c r="AY46" s="40">
        <f t="shared" si="8"/>
        <v>340420</v>
      </c>
      <c r="AZ46" s="44"/>
      <c r="BA46" s="43">
        <f t="shared" si="9"/>
        <v>0.99997062452264851</v>
      </c>
    </row>
    <row r="47" spans="2:53" x14ac:dyDescent="0.2">
      <c r="B47" s="57" t="s">
        <v>45</v>
      </c>
      <c r="C47" s="57"/>
      <c r="D47" s="57"/>
      <c r="E47" s="58">
        <v>7600</v>
      </c>
      <c r="F47" s="57"/>
      <c r="G47" s="99">
        <f>+'Joe County Report- Intacct'!$B$49</f>
        <v>0</v>
      </c>
      <c r="H47" s="50"/>
      <c r="I47" s="183">
        <f>+'Joe County Report- Intacct'!$C$49</f>
        <v>0</v>
      </c>
      <c r="J47" s="50"/>
      <c r="K47" s="49">
        <f>+'Joe County Report- Intacct'!$D$49</f>
        <v>0</v>
      </c>
      <c r="L47" s="50"/>
      <c r="M47" s="52" t="str">
        <f t="shared" si="10"/>
        <v>%</v>
      </c>
      <c r="N47" s="40"/>
      <c r="O47" s="40">
        <f>+'Joe County Report- Intacct'!F49</f>
        <v>0</v>
      </c>
      <c r="P47" s="44"/>
      <c r="Q47" s="40">
        <f>+'Joe County Report- Intacct'!G49</f>
        <v>0</v>
      </c>
      <c r="R47" s="44"/>
      <c r="S47" s="40">
        <f>+'Joe County Report- Intacct'!H49</f>
        <v>0</v>
      </c>
      <c r="T47" s="44"/>
      <c r="U47" s="43" t="str">
        <f t="shared" si="4"/>
        <v>%</v>
      </c>
      <c r="V47" s="40"/>
      <c r="W47" s="40">
        <f>+'Joe County Report- Intacct'!J49</f>
        <v>0</v>
      </c>
      <c r="X47" s="64"/>
      <c r="Y47" s="40">
        <f>+'Joe County Report- Intacct'!K49</f>
        <v>0</v>
      </c>
      <c r="Z47" s="64"/>
      <c r="AA47" s="40">
        <f>+'Joe County Report- Intacct'!L49</f>
        <v>0</v>
      </c>
      <c r="AB47" s="44"/>
      <c r="AC47" s="43" t="str">
        <f t="shared" si="5"/>
        <v>%</v>
      </c>
      <c r="AD47" s="40"/>
      <c r="AE47" s="40">
        <f>+'Joe County Report- Intacct'!N49</f>
        <v>0</v>
      </c>
      <c r="AF47" s="64"/>
      <c r="AG47" s="40">
        <f>+'Joe County Report- Intacct'!O49</f>
        <v>0</v>
      </c>
      <c r="AH47" s="64"/>
      <c r="AI47" s="40">
        <f>+'Joe County Report- Intacct'!P49</f>
        <v>0</v>
      </c>
      <c r="AJ47" s="64"/>
      <c r="AK47" s="43" t="str">
        <f t="shared" si="11"/>
        <v/>
      </c>
      <c r="AL47" s="40"/>
      <c r="AM47" s="40"/>
      <c r="AN47" s="44"/>
      <c r="AO47" s="40"/>
      <c r="AP47" s="44"/>
      <c r="AQ47" s="40"/>
      <c r="AR47" s="44"/>
      <c r="AS47" s="43" t="str">
        <f t="shared" si="12"/>
        <v/>
      </c>
      <c r="AT47" s="40"/>
      <c r="AU47" s="40">
        <f t="shared" si="6"/>
        <v>0</v>
      </c>
      <c r="AV47" s="44"/>
      <c r="AW47" s="40">
        <f t="shared" si="7"/>
        <v>0</v>
      </c>
      <c r="AX47" s="44"/>
      <c r="AY47" s="40">
        <f t="shared" si="8"/>
        <v>0</v>
      </c>
      <c r="AZ47" s="44"/>
      <c r="BA47" s="43" t="str">
        <f t="shared" si="9"/>
        <v/>
      </c>
    </row>
    <row r="48" spans="2:53" x14ac:dyDescent="0.2">
      <c r="B48" s="57" t="s">
        <v>425</v>
      </c>
      <c r="C48" s="57"/>
      <c r="D48" s="57"/>
      <c r="E48" s="58">
        <v>7700</v>
      </c>
      <c r="F48" s="57"/>
      <c r="G48" s="99">
        <f>+'Joe County Report- Intacct'!$B$50</f>
        <v>74934</v>
      </c>
      <c r="H48" s="50"/>
      <c r="I48" s="183">
        <f>+'Joe County Report- Intacct'!$C$50</f>
        <v>289620</v>
      </c>
      <c r="J48" s="50"/>
      <c r="K48" s="49">
        <f>+'Joe County Report- Intacct'!$D$50+40000</f>
        <v>289438</v>
      </c>
      <c r="L48" s="50"/>
      <c r="M48" s="52">
        <f t="shared" si="10"/>
        <v>1.0006288047872083</v>
      </c>
      <c r="N48" s="40"/>
      <c r="O48" s="40">
        <f>+'Joe County Report- Intacct'!F50</f>
        <v>0</v>
      </c>
      <c r="P48" s="44"/>
      <c r="Q48" s="40">
        <f>+'Joe County Report- Intacct'!G50</f>
        <v>0</v>
      </c>
      <c r="R48" s="44"/>
      <c r="S48" s="40">
        <f>+'Joe County Report- Intacct'!H50</f>
        <v>0</v>
      </c>
      <c r="T48" s="44"/>
      <c r="U48" s="43" t="str">
        <f t="shared" si="4"/>
        <v>%</v>
      </c>
      <c r="V48" s="40"/>
      <c r="W48" s="40">
        <f>+'Joe County Report- Intacct'!J50</f>
        <v>0</v>
      </c>
      <c r="X48" s="64"/>
      <c r="Y48" s="40">
        <f>+'Joe County Report- Intacct'!K50</f>
        <v>0</v>
      </c>
      <c r="Z48" s="64"/>
      <c r="AA48" s="40">
        <f>+'Joe County Report- Intacct'!L50</f>
        <v>0</v>
      </c>
      <c r="AB48" s="44"/>
      <c r="AC48" s="43" t="str">
        <f t="shared" si="5"/>
        <v>%</v>
      </c>
      <c r="AD48" s="40"/>
      <c r="AE48" s="40">
        <f>+'Joe County Report- Intacct'!N50</f>
        <v>0</v>
      </c>
      <c r="AF48" s="64"/>
      <c r="AG48" s="40">
        <f>+'Joe County Report- Intacct'!O50</f>
        <v>0</v>
      </c>
      <c r="AH48" s="64"/>
      <c r="AI48" s="40">
        <f>+'Joe County Report- Intacct'!P50</f>
        <v>0</v>
      </c>
      <c r="AJ48" s="64"/>
      <c r="AK48" s="43" t="str">
        <f t="shared" si="11"/>
        <v/>
      </c>
      <c r="AL48" s="40"/>
      <c r="AM48" s="40"/>
      <c r="AN48" s="44"/>
      <c r="AO48" s="40"/>
      <c r="AP48" s="44"/>
      <c r="AQ48" s="40"/>
      <c r="AR48" s="44"/>
      <c r="AS48" s="43" t="str">
        <f t="shared" si="12"/>
        <v/>
      </c>
      <c r="AT48" s="40"/>
      <c r="AU48" s="40">
        <f t="shared" si="6"/>
        <v>74934</v>
      </c>
      <c r="AV48" s="44"/>
      <c r="AW48" s="40">
        <f t="shared" si="7"/>
        <v>289620</v>
      </c>
      <c r="AX48" s="44"/>
      <c r="AY48" s="40">
        <f t="shared" si="8"/>
        <v>289438</v>
      </c>
      <c r="AZ48" s="44"/>
      <c r="BA48" s="43">
        <f t="shared" si="9"/>
        <v>1.0006288047872083</v>
      </c>
    </row>
    <row r="49" spans="1:56" x14ac:dyDescent="0.2">
      <c r="B49" s="57" t="s">
        <v>47</v>
      </c>
      <c r="C49" s="57"/>
      <c r="D49" s="57"/>
      <c r="E49" s="58">
        <v>7800</v>
      </c>
      <c r="F49" s="57"/>
      <c r="G49" s="99">
        <f>+'Joe County Report- Intacct'!$B$51</f>
        <v>0</v>
      </c>
      <c r="H49" s="50"/>
      <c r="I49" s="183">
        <f>+'Joe County Report- Intacct'!$C$51</f>
        <v>0</v>
      </c>
      <c r="J49" s="50"/>
      <c r="K49" s="49">
        <f>+'Joe County Report- Intacct'!$D$51</f>
        <v>0</v>
      </c>
      <c r="L49" s="50"/>
      <c r="M49" s="52" t="str">
        <f t="shared" si="10"/>
        <v>%</v>
      </c>
      <c r="N49" s="40"/>
      <c r="O49" s="40">
        <f>+'Joe County Report- Intacct'!F51</f>
        <v>0</v>
      </c>
      <c r="P49" s="44"/>
      <c r="Q49" s="40">
        <f>+'Joe County Report- Intacct'!G51</f>
        <v>0</v>
      </c>
      <c r="R49" s="44"/>
      <c r="S49" s="40">
        <f>+'Joe County Report- Intacct'!H51</f>
        <v>0</v>
      </c>
      <c r="T49" s="44"/>
      <c r="U49" s="43" t="str">
        <f t="shared" si="4"/>
        <v>%</v>
      </c>
      <c r="V49" s="40"/>
      <c r="W49" s="40">
        <f>+'Joe County Report- Intacct'!J51</f>
        <v>0</v>
      </c>
      <c r="X49" s="64"/>
      <c r="Y49" s="40">
        <f>+'Joe County Report- Intacct'!K51</f>
        <v>0</v>
      </c>
      <c r="Z49" s="64"/>
      <c r="AA49" s="40">
        <f>+'Joe County Report- Intacct'!L51</f>
        <v>0</v>
      </c>
      <c r="AB49" s="44"/>
      <c r="AC49" s="43" t="str">
        <f t="shared" si="5"/>
        <v>%</v>
      </c>
      <c r="AD49" s="40"/>
      <c r="AE49" s="40">
        <f>+'Joe County Report- Intacct'!N51</f>
        <v>0</v>
      </c>
      <c r="AF49" s="64"/>
      <c r="AG49" s="40">
        <f>+'Joe County Report- Intacct'!O51</f>
        <v>0</v>
      </c>
      <c r="AH49" s="64"/>
      <c r="AI49" s="40">
        <f>+'Joe County Report- Intacct'!P51</f>
        <v>0</v>
      </c>
      <c r="AJ49" s="64"/>
      <c r="AK49" s="43" t="str">
        <f t="shared" si="11"/>
        <v/>
      </c>
      <c r="AL49" s="40"/>
      <c r="AM49" s="40"/>
      <c r="AN49" s="44"/>
      <c r="AO49" s="40"/>
      <c r="AP49" s="44"/>
      <c r="AQ49" s="40"/>
      <c r="AR49" s="44"/>
      <c r="AS49" s="43" t="str">
        <f t="shared" si="12"/>
        <v/>
      </c>
      <c r="AT49" s="40"/>
      <c r="AU49" s="40">
        <f t="shared" si="6"/>
        <v>0</v>
      </c>
      <c r="AV49" s="44"/>
      <c r="AW49" s="40">
        <f t="shared" si="7"/>
        <v>0</v>
      </c>
      <c r="AX49" s="44"/>
      <c r="AY49" s="40">
        <f t="shared" si="8"/>
        <v>0</v>
      </c>
      <c r="AZ49" s="44"/>
      <c r="BA49" s="43" t="str">
        <f t="shared" si="9"/>
        <v/>
      </c>
    </row>
    <row r="50" spans="1:56" x14ac:dyDescent="0.2">
      <c r="B50" s="57" t="s">
        <v>48</v>
      </c>
      <c r="C50" s="57"/>
      <c r="D50" s="57"/>
      <c r="E50" s="58">
        <v>7900</v>
      </c>
      <c r="F50" s="57"/>
      <c r="G50" s="99">
        <f>+'Joe County Report- Intacct'!$B$52</f>
        <v>210640</v>
      </c>
      <c r="H50" s="50"/>
      <c r="I50" s="183">
        <f>+'Joe County Report- Intacct'!$C$52</f>
        <v>912715</v>
      </c>
      <c r="J50" s="50"/>
      <c r="K50" s="49">
        <f>+'Joe County Report- Intacct'!$D$52+55500</f>
        <v>912788</v>
      </c>
      <c r="L50" s="50"/>
      <c r="M50" s="52">
        <f t="shared" si="10"/>
        <v>0.99992002524134849</v>
      </c>
      <c r="N50" s="40"/>
      <c r="O50" s="40">
        <f>+'Joe County Report- Intacct'!F52</f>
        <v>0</v>
      </c>
      <c r="P50" s="44"/>
      <c r="Q50" s="40">
        <f>+'Joe County Report- Intacct'!G52</f>
        <v>0</v>
      </c>
      <c r="R50" s="44"/>
      <c r="S50" s="40">
        <f>+'Joe County Report- Intacct'!H52</f>
        <v>0</v>
      </c>
      <c r="T50" s="44"/>
      <c r="U50" s="43" t="str">
        <f t="shared" si="4"/>
        <v>%</v>
      </c>
      <c r="V50" s="40"/>
      <c r="W50" s="40">
        <f>+'Joe County Report- Intacct'!J52</f>
        <v>0</v>
      </c>
      <c r="X50" s="64"/>
      <c r="Y50" s="40">
        <f>+'Joe County Report- Intacct'!K52</f>
        <v>0</v>
      </c>
      <c r="Z50" s="64"/>
      <c r="AA50" s="40">
        <f>+'Joe County Report- Intacct'!L52</f>
        <v>0</v>
      </c>
      <c r="AB50" s="44"/>
      <c r="AC50" s="43" t="str">
        <f t="shared" si="5"/>
        <v>%</v>
      </c>
      <c r="AD50" s="40"/>
      <c r="AE50" s="40">
        <f>+'Joe County Report- Intacct'!N52</f>
        <v>0</v>
      </c>
      <c r="AF50" s="64"/>
      <c r="AG50" s="40">
        <f>+'Joe County Report- Intacct'!O52</f>
        <v>0</v>
      </c>
      <c r="AH50" s="64"/>
      <c r="AI50" s="40">
        <f>+'Joe County Report- Intacct'!P52</f>
        <v>0</v>
      </c>
      <c r="AJ50" s="64"/>
      <c r="AK50" s="43" t="str">
        <f t="shared" si="11"/>
        <v/>
      </c>
      <c r="AL50" s="40"/>
      <c r="AM50" s="40"/>
      <c r="AN50" s="44"/>
      <c r="AO50" s="40"/>
      <c r="AP50" s="44"/>
      <c r="AQ50" s="40"/>
      <c r="AR50" s="44"/>
      <c r="AS50" s="43" t="str">
        <f t="shared" si="12"/>
        <v/>
      </c>
      <c r="AT50" s="40"/>
      <c r="AU50" s="40">
        <f t="shared" si="6"/>
        <v>210640</v>
      </c>
      <c r="AV50" s="44"/>
      <c r="AW50" s="40">
        <f t="shared" si="7"/>
        <v>912715</v>
      </c>
      <c r="AX50" s="44"/>
      <c r="AY50" s="40">
        <f>K50+S50+AA50+AI50+AQ50-2</f>
        <v>912786</v>
      </c>
      <c r="AZ50" s="44"/>
      <c r="BA50" s="43">
        <f t="shared" si="9"/>
        <v>0.99992221616019528</v>
      </c>
    </row>
    <row r="51" spans="1:56" x14ac:dyDescent="0.2">
      <c r="B51" s="57" t="s">
        <v>51</v>
      </c>
      <c r="C51" s="57"/>
      <c r="D51" s="57"/>
      <c r="E51" s="58">
        <v>8100</v>
      </c>
      <c r="F51" s="57"/>
      <c r="G51" s="59">
        <f>+'Joe County Report- Intacct'!$B$53</f>
        <v>153419</v>
      </c>
      <c r="H51" s="44"/>
      <c r="I51" s="183">
        <f>+'Joe County Report- Intacct'!$C$53</f>
        <v>495091</v>
      </c>
      <c r="J51" s="50"/>
      <c r="K51" s="49">
        <f>+'Joe County Report- Intacct'!$D$53</f>
        <v>494888</v>
      </c>
      <c r="L51" s="50"/>
      <c r="M51" s="52">
        <f t="shared" si="10"/>
        <v>1.0004101938216323</v>
      </c>
      <c r="N51" s="40"/>
      <c r="O51" s="40">
        <f>+'Joe County Report- Intacct'!F53</f>
        <v>0</v>
      </c>
      <c r="P51" s="44"/>
      <c r="Q51" s="40">
        <f>+'Joe County Report- Intacct'!G53</f>
        <v>0</v>
      </c>
      <c r="R51" s="44"/>
      <c r="S51" s="40">
        <f>+'Joe County Report- Intacct'!H53</f>
        <v>0</v>
      </c>
      <c r="T51" s="44"/>
      <c r="U51" s="43" t="str">
        <f t="shared" si="4"/>
        <v>%</v>
      </c>
      <c r="V51" s="40"/>
      <c r="W51" s="40">
        <f>+'Joe County Report- Intacct'!J53</f>
        <v>0</v>
      </c>
      <c r="X51" s="64"/>
      <c r="Y51" s="40">
        <f>+'Joe County Report- Intacct'!K53</f>
        <v>0</v>
      </c>
      <c r="Z51" s="64"/>
      <c r="AA51" s="40">
        <f>+'Joe County Report- Intacct'!L53</f>
        <v>0</v>
      </c>
      <c r="AB51" s="44"/>
      <c r="AC51" s="43" t="str">
        <f t="shared" si="5"/>
        <v>%</v>
      </c>
      <c r="AD51" s="40"/>
      <c r="AE51" s="40">
        <f>+'Joe County Report- Intacct'!N53</f>
        <v>0</v>
      </c>
      <c r="AF51" s="64"/>
      <c r="AG51" s="40">
        <f>+'Joe County Report- Intacct'!O53</f>
        <v>0</v>
      </c>
      <c r="AH51" s="64"/>
      <c r="AI51" s="40">
        <f>+'Joe County Report- Intacct'!P53</f>
        <v>0</v>
      </c>
      <c r="AJ51" s="64"/>
      <c r="AK51" s="43" t="str">
        <f t="shared" si="11"/>
        <v/>
      </c>
      <c r="AL51" s="40"/>
      <c r="AM51" s="40"/>
      <c r="AN51" s="44"/>
      <c r="AO51" s="40"/>
      <c r="AP51" s="44"/>
      <c r="AQ51" s="40"/>
      <c r="AR51" s="44"/>
      <c r="AS51" s="43" t="str">
        <f t="shared" si="12"/>
        <v/>
      </c>
      <c r="AT51" s="40"/>
      <c r="AU51" s="40">
        <f t="shared" si="6"/>
        <v>153419</v>
      </c>
      <c r="AV51" s="44"/>
      <c r="AW51" s="40">
        <f t="shared" si="7"/>
        <v>495091</v>
      </c>
      <c r="AX51" s="44"/>
      <c r="AY51" s="40">
        <f t="shared" si="8"/>
        <v>494888</v>
      </c>
      <c r="AZ51" s="44"/>
      <c r="BA51" s="43">
        <f t="shared" si="9"/>
        <v>1.0004101938216323</v>
      </c>
    </row>
    <row r="52" spans="1:56" x14ac:dyDescent="0.2">
      <c r="B52" s="57" t="s">
        <v>52</v>
      </c>
      <c r="C52" s="57"/>
      <c r="D52" s="57"/>
      <c r="E52" s="58">
        <v>8200</v>
      </c>
      <c r="F52" s="57"/>
      <c r="G52" s="99">
        <f>+'Joe County Report- Intacct'!$B$54</f>
        <v>65214</v>
      </c>
      <c r="H52" s="50"/>
      <c r="I52" s="183">
        <f>+'Joe County Report- Intacct'!$C$54</f>
        <v>388602</v>
      </c>
      <c r="J52" s="50"/>
      <c r="K52" s="49">
        <f>+'Joe County Report- Intacct'!$D$54</f>
        <v>387845</v>
      </c>
      <c r="L52" s="50"/>
      <c r="M52" s="52">
        <f t="shared" si="10"/>
        <v>1.0019518106460055</v>
      </c>
      <c r="N52" s="40"/>
      <c r="O52" s="40">
        <f>+'Joe County Report- Intacct'!F54</f>
        <v>0</v>
      </c>
      <c r="P52" s="44"/>
      <c r="Q52" s="40">
        <f>+'Joe County Report- Intacct'!G54</f>
        <v>0</v>
      </c>
      <c r="R52" s="44"/>
      <c r="S52" s="40">
        <f>+'Joe County Report- Intacct'!H54</f>
        <v>0</v>
      </c>
      <c r="T52" s="44"/>
      <c r="U52" s="43" t="str">
        <f t="shared" si="4"/>
        <v>%</v>
      </c>
      <c r="V52" s="40"/>
      <c r="W52" s="40">
        <f>+'Joe County Report- Intacct'!J54</f>
        <v>0</v>
      </c>
      <c r="X52" s="64"/>
      <c r="Y52" s="40">
        <f>+'Joe County Report- Intacct'!K54</f>
        <v>0</v>
      </c>
      <c r="Z52" s="64"/>
      <c r="AA52" s="40">
        <f>+'Joe County Report- Intacct'!L54</f>
        <v>0</v>
      </c>
      <c r="AB52" s="44"/>
      <c r="AC52" s="43" t="str">
        <f t="shared" si="5"/>
        <v>%</v>
      </c>
      <c r="AD52" s="40"/>
      <c r="AE52" s="40">
        <f>+'Joe County Report- Intacct'!N54</f>
        <v>0</v>
      </c>
      <c r="AF52" s="64"/>
      <c r="AG52" s="40">
        <f>+'Joe County Report- Intacct'!O54</f>
        <v>0</v>
      </c>
      <c r="AH52" s="64"/>
      <c r="AI52" s="40">
        <f>+'Joe County Report- Intacct'!P54</f>
        <v>0</v>
      </c>
      <c r="AJ52" s="64"/>
      <c r="AK52" s="43" t="str">
        <f t="shared" si="11"/>
        <v/>
      </c>
      <c r="AL52" s="40"/>
      <c r="AM52" s="40"/>
      <c r="AN52" s="44"/>
      <c r="AO52" s="40"/>
      <c r="AP52" s="44"/>
      <c r="AQ52" s="40"/>
      <c r="AR52" s="44"/>
      <c r="AS52" s="43" t="str">
        <f t="shared" si="12"/>
        <v/>
      </c>
      <c r="AT52" s="40"/>
      <c r="AU52" s="40">
        <f t="shared" si="6"/>
        <v>65214</v>
      </c>
      <c r="AV52" s="44"/>
      <c r="AW52" s="40">
        <f t="shared" si="7"/>
        <v>388602</v>
      </c>
      <c r="AX52" s="44"/>
      <c r="AY52" s="40">
        <f t="shared" si="8"/>
        <v>387845</v>
      </c>
      <c r="AZ52" s="44"/>
      <c r="BA52" s="43">
        <f t="shared" si="9"/>
        <v>1.0019518106460055</v>
      </c>
    </row>
    <row r="53" spans="1:56" x14ac:dyDescent="0.2">
      <c r="B53" s="57" t="s">
        <v>426</v>
      </c>
      <c r="C53" s="57"/>
      <c r="D53" s="57"/>
      <c r="E53" s="58">
        <v>9100</v>
      </c>
      <c r="F53" s="57"/>
      <c r="G53" s="59">
        <f>+'Joe County Report- Intacct'!$B$55</f>
        <v>884153</v>
      </c>
      <c r="H53" s="44"/>
      <c r="I53" s="183">
        <f>+'Joe County Report- Intacct'!$C$55</f>
        <v>3534676</v>
      </c>
      <c r="J53" s="50"/>
      <c r="K53" s="49">
        <f>+'Joe County Report- Intacct'!$D$55-300000</f>
        <v>3523355</v>
      </c>
      <c r="L53" s="50"/>
      <c r="M53" s="52">
        <f t="shared" si="10"/>
        <v>1.0032131306666516</v>
      </c>
      <c r="N53" s="40"/>
      <c r="O53" s="40">
        <f>+'Joe County Report- Intacct'!F55</f>
        <v>0</v>
      </c>
      <c r="P53" s="44"/>
      <c r="Q53" s="40">
        <f>+'Joe County Report- Intacct'!G55</f>
        <v>0</v>
      </c>
      <c r="R53" s="44"/>
      <c r="S53" s="40">
        <f>+'Joe County Report- Intacct'!H55</f>
        <v>0</v>
      </c>
      <c r="T53" s="44"/>
      <c r="U53" s="43" t="str">
        <f t="shared" si="4"/>
        <v>%</v>
      </c>
      <c r="V53" s="40"/>
      <c r="W53" s="40">
        <f>+'Joe County Report- Intacct'!J55</f>
        <v>0</v>
      </c>
      <c r="X53" s="64"/>
      <c r="Y53" s="40">
        <f>+'Joe County Report- Intacct'!K55</f>
        <v>0</v>
      </c>
      <c r="Z53" s="64"/>
      <c r="AA53" s="40">
        <f>+'Joe County Report- Intacct'!L55</f>
        <v>0</v>
      </c>
      <c r="AB53" s="44"/>
      <c r="AC53" s="43" t="str">
        <f t="shared" si="5"/>
        <v>%</v>
      </c>
      <c r="AD53" s="40"/>
      <c r="AE53" s="40">
        <f>+'Joe County Report- Intacct'!N55</f>
        <v>0</v>
      </c>
      <c r="AF53" s="64"/>
      <c r="AG53" s="40">
        <f>+'Joe County Report- Intacct'!O55</f>
        <v>0</v>
      </c>
      <c r="AH53" s="64"/>
      <c r="AI53" s="40">
        <f>+'Joe County Report- Intacct'!P55</f>
        <v>0</v>
      </c>
      <c r="AJ53" s="64"/>
      <c r="AK53" s="43" t="str">
        <f t="shared" si="11"/>
        <v/>
      </c>
      <c r="AL53" s="40"/>
      <c r="AM53" s="40"/>
      <c r="AN53" s="44"/>
      <c r="AO53" s="40"/>
      <c r="AP53" s="44"/>
      <c r="AQ53" s="40"/>
      <c r="AR53" s="44"/>
      <c r="AS53" s="43" t="str">
        <f t="shared" si="12"/>
        <v/>
      </c>
      <c r="AT53" s="40"/>
      <c r="AU53" s="40">
        <f t="shared" si="6"/>
        <v>884153</v>
      </c>
      <c r="AV53" s="44"/>
      <c r="AW53" s="40">
        <f t="shared" si="7"/>
        <v>3534676</v>
      </c>
      <c r="AX53" s="44"/>
      <c r="AY53" s="40">
        <f t="shared" si="8"/>
        <v>3523355</v>
      </c>
      <c r="AZ53" s="44"/>
      <c r="BA53" s="43">
        <f t="shared" si="9"/>
        <v>1.0032131306666516</v>
      </c>
    </row>
    <row r="54" spans="1:56" x14ac:dyDescent="0.2">
      <c r="B54" s="57" t="s">
        <v>8</v>
      </c>
      <c r="C54" s="57"/>
      <c r="D54" s="57"/>
      <c r="E54" s="58">
        <v>9200</v>
      </c>
      <c r="F54" s="57"/>
      <c r="G54" s="40">
        <f>+'Joe County Report- Intacct'!$B$56</f>
        <v>0</v>
      </c>
      <c r="H54" s="44"/>
      <c r="I54" s="185">
        <f>+'Joe County Report- Intacct'!$C$56</f>
        <v>0</v>
      </c>
      <c r="J54" s="50"/>
      <c r="K54" s="49">
        <f>+'Joe County Report- Intacct'!$D$56</f>
        <v>0</v>
      </c>
      <c r="L54" s="50"/>
      <c r="M54" s="52" t="str">
        <f t="shared" si="10"/>
        <v>%</v>
      </c>
      <c r="N54" s="40"/>
      <c r="O54" s="40">
        <f>+'Joe County Report- Intacct'!F56</f>
        <v>0</v>
      </c>
      <c r="P54" s="44"/>
      <c r="Q54" s="40">
        <f>+'Joe County Report- Intacct'!G56</f>
        <v>0</v>
      </c>
      <c r="R54" s="44"/>
      <c r="S54" s="40">
        <f>+'Joe County Report- Intacct'!H56</f>
        <v>0</v>
      </c>
      <c r="T54" s="44"/>
      <c r="U54" s="43" t="str">
        <f t="shared" si="4"/>
        <v>%</v>
      </c>
      <c r="V54" s="40"/>
      <c r="W54" s="40">
        <f>+'Joe County Report- Intacct'!J56</f>
        <v>224336</v>
      </c>
      <c r="X54" s="64"/>
      <c r="Y54" s="49">
        <f>+'Joe County Report- Intacct'!K56</f>
        <v>996230</v>
      </c>
      <c r="Z54" s="64"/>
      <c r="AA54" s="40">
        <f>+'Joe County Report- Intacct'!L56</f>
        <v>1034571</v>
      </c>
      <c r="AB54" s="44"/>
      <c r="AC54" s="43">
        <f t="shared" si="5"/>
        <v>0.96294019453473956</v>
      </c>
      <c r="AD54" s="40"/>
      <c r="AE54" s="40">
        <f>+'Joe County Report- Intacct'!N56</f>
        <v>0</v>
      </c>
      <c r="AF54" s="64"/>
      <c r="AG54" s="40">
        <f>+'Joe County Report- Intacct'!O56</f>
        <v>0</v>
      </c>
      <c r="AH54" s="64"/>
      <c r="AI54" s="40">
        <f>+'Joe County Report- Intacct'!P56</f>
        <v>0</v>
      </c>
      <c r="AJ54" s="64"/>
      <c r="AK54" s="43" t="str">
        <f t="shared" si="11"/>
        <v/>
      </c>
      <c r="AL54" s="40"/>
      <c r="AM54" s="40"/>
      <c r="AN54" s="44"/>
      <c r="AO54" s="40"/>
      <c r="AP54" s="44"/>
      <c r="AQ54" s="40"/>
      <c r="AR54" s="44"/>
      <c r="AS54" s="43" t="str">
        <f t="shared" si="12"/>
        <v/>
      </c>
      <c r="AT54" s="40"/>
      <c r="AU54" s="40">
        <f t="shared" si="6"/>
        <v>224336</v>
      </c>
      <c r="AV54" s="44"/>
      <c r="AW54" s="40">
        <f t="shared" si="7"/>
        <v>996230</v>
      </c>
      <c r="AX54" s="44"/>
      <c r="AY54" s="40">
        <f t="shared" si="8"/>
        <v>1034571</v>
      </c>
      <c r="AZ54" s="44"/>
      <c r="BA54" s="43">
        <f t="shared" si="9"/>
        <v>0.96294019453473956</v>
      </c>
    </row>
    <row r="55" spans="1:56" ht="25.35" customHeight="1" x14ac:dyDescent="0.2">
      <c r="A55" s="42" t="s">
        <v>427</v>
      </c>
      <c r="G55" s="46">
        <f>SUM(G28:G54)</f>
        <v>4102728</v>
      </c>
      <c r="H55" s="44"/>
      <c r="I55" s="186">
        <f>SUM(I28:I54)</f>
        <v>17312554</v>
      </c>
      <c r="J55" s="44"/>
      <c r="K55" s="46">
        <f>SUM(K28:K54)</f>
        <v>17275329</v>
      </c>
      <c r="L55" s="44"/>
      <c r="M55" s="45">
        <f>IF(K55=0,"%",I55/K55)</f>
        <v>1.0021548070083064</v>
      </c>
      <c r="N55" s="40"/>
      <c r="O55" s="46">
        <f>SUM(O28:O54)</f>
        <v>0</v>
      </c>
      <c r="P55" s="44"/>
      <c r="Q55" s="46">
        <f>SUM(Q28:Q54)</f>
        <v>0</v>
      </c>
      <c r="R55" s="44"/>
      <c r="S55" s="46">
        <f>SUM(S28:S54)</f>
        <v>0</v>
      </c>
      <c r="T55" s="44"/>
      <c r="U55" s="45" t="str">
        <f>IF(S55=0,"%",Q55/S55)</f>
        <v>%</v>
      </c>
      <c r="V55" s="40"/>
      <c r="W55" s="46">
        <f>SUM(W28:W54)</f>
        <v>224336</v>
      </c>
      <c r="X55" s="44"/>
      <c r="Y55" s="46">
        <f>SUM(Y28:Y54)</f>
        <v>996230</v>
      </c>
      <c r="Z55" s="44"/>
      <c r="AA55" s="46">
        <f>SUM(AA28:AA54)</f>
        <v>1034571</v>
      </c>
      <c r="AB55" s="44"/>
      <c r="AC55" s="45">
        <f>IF(AA55=0,"",Y55/AA55)</f>
        <v>0.96294019453473956</v>
      </c>
      <c r="AD55" s="40"/>
      <c r="AE55" s="46">
        <f>SUM(AE28:AE54)</f>
        <v>0</v>
      </c>
      <c r="AF55" s="44"/>
      <c r="AG55" s="46">
        <f>SUM(AG28:AG54)</f>
        <v>0</v>
      </c>
      <c r="AH55" s="44"/>
      <c r="AI55" s="46">
        <f>SUM(AI28:AI54)</f>
        <v>0</v>
      </c>
      <c r="AJ55" s="44"/>
      <c r="AK55" s="45" t="str">
        <f>IF(AI55=0,"",AG55/AI55)</f>
        <v/>
      </c>
      <c r="AL55" s="40"/>
      <c r="AM55" s="46">
        <f>SUM(AM28:AM54)</f>
        <v>0</v>
      </c>
      <c r="AN55" s="44"/>
      <c r="AO55" s="46">
        <f>SUM(AO28:AO54)</f>
        <v>0</v>
      </c>
      <c r="AP55" s="44"/>
      <c r="AQ55" s="46">
        <f>SUM(AQ28:AQ54)</f>
        <v>0</v>
      </c>
      <c r="AR55" s="44"/>
      <c r="AS55" s="45" t="str">
        <f t="shared" si="12"/>
        <v/>
      </c>
      <c r="AT55" s="40"/>
      <c r="AU55" s="46">
        <f>SUM(AU28:AU54)</f>
        <v>4327064</v>
      </c>
      <c r="AV55" s="44"/>
      <c r="AW55" s="46">
        <f>SUM(AW28:AW54)</f>
        <v>18308784</v>
      </c>
      <c r="AX55" s="44"/>
      <c r="AY55" s="46">
        <f>SUM(AY28:AY54)</f>
        <v>18309898</v>
      </c>
      <c r="AZ55" s="44"/>
      <c r="BA55" s="45">
        <f t="shared" si="9"/>
        <v>0.99993915859061588</v>
      </c>
      <c r="BB55" s="108">
        <f>+AU55-'Joe County Report- Intacct'!R57</f>
        <v>0</v>
      </c>
      <c r="BC55" s="108">
        <f>+AW55-'Joe County Report- Intacct'!S57</f>
        <v>3</v>
      </c>
      <c r="BD55" s="108" t="s">
        <v>398</v>
      </c>
    </row>
    <row r="56" spans="1:56" ht="25.35" customHeight="1" x14ac:dyDescent="0.2">
      <c r="A56" s="42" t="s">
        <v>428</v>
      </c>
      <c r="G56" s="56">
        <f>G24-G55</f>
        <v>-92310</v>
      </c>
      <c r="H56" s="44"/>
      <c r="I56" s="56">
        <f>I24-I55</f>
        <v>-471453</v>
      </c>
      <c r="J56" s="44"/>
      <c r="K56" s="56">
        <f>K24-K55</f>
        <v>-412499</v>
      </c>
      <c r="L56" s="44"/>
      <c r="M56" s="45">
        <f>IF(K56=0,"",I56/K56)</f>
        <v>1.1429191343494165</v>
      </c>
      <c r="N56" s="40"/>
      <c r="O56" s="56">
        <f>O24-O55</f>
        <v>769</v>
      </c>
      <c r="P56" s="44"/>
      <c r="Q56" s="56">
        <f>Q24-Q55</f>
        <v>130963</v>
      </c>
      <c r="R56" s="44"/>
      <c r="S56" s="56">
        <f>S24-S55</f>
        <v>246679</v>
      </c>
      <c r="T56" s="44"/>
      <c r="U56" s="45">
        <f>IF(S56=0,"",Q56/S56)</f>
        <v>0.53090453585428832</v>
      </c>
      <c r="V56" s="40"/>
      <c r="W56" s="56">
        <f>W24-W55</f>
        <v>-224336</v>
      </c>
      <c r="X56" s="44"/>
      <c r="Y56" s="56">
        <f>Y24-Y55</f>
        <v>-996230</v>
      </c>
      <c r="Z56" s="44"/>
      <c r="AA56" s="56">
        <f>AA24-AA55</f>
        <v>-1034571</v>
      </c>
      <c r="AB56" s="44"/>
      <c r="AC56" s="45">
        <f>IF(AA56=0,"",Y56/AA56)</f>
        <v>0.96294019453473956</v>
      </c>
      <c r="AD56" s="40"/>
      <c r="AE56" s="56">
        <f>AE24-AE55</f>
        <v>201149</v>
      </c>
      <c r="AF56" s="44"/>
      <c r="AG56" s="56">
        <f>AG24-AG55</f>
        <v>790002</v>
      </c>
      <c r="AH56" s="44"/>
      <c r="AI56" s="56">
        <f>AI24-AI55</f>
        <v>789674</v>
      </c>
      <c r="AJ56" s="44"/>
      <c r="AK56" s="45">
        <f>IF(AI56=0,"",AG56/AI56)</f>
        <v>1.0004153612756657</v>
      </c>
      <c r="AL56" s="40"/>
      <c r="AM56" s="56">
        <f>AM24-AM55</f>
        <v>0</v>
      </c>
      <c r="AN56" s="44"/>
      <c r="AO56" s="56">
        <f>AO24-AO55</f>
        <v>0</v>
      </c>
      <c r="AP56" s="44"/>
      <c r="AQ56" s="56">
        <f>AQ24-AQ55</f>
        <v>0</v>
      </c>
      <c r="AR56" s="44"/>
      <c r="AS56" s="45" t="str">
        <f t="shared" si="12"/>
        <v/>
      </c>
      <c r="AT56" s="40"/>
      <c r="AU56" s="56">
        <f>AU24-AU55</f>
        <v>-114728</v>
      </c>
      <c r="AV56" s="44"/>
      <c r="AW56" s="56">
        <f>AW24-AW55</f>
        <v>-546718</v>
      </c>
      <c r="AX56" s="44"/>
      <c r="AY56" s="56">
        <f>AY24-AY55</f>
        <v>-410715</v>
      </c>
      <c r="AZ56" s="44"/>
      <c r="BA56" s="45">
        <f t="shared" si="9"/>
        <v>1.3311371632397162</v>
      </c>
    </row>
    <row r="57" spans="1:56" x14ac:dyDescent="0.2">
      <c r="G57" s="40"/>
      <c r="H57" s="44"/>
      <c r="I57" s="40"/>
      <c r="J57" s="44"/>
      <c r="K57" s="40"/>
      <c r="L57" s="44"/>
      <c r="M57" s="43"/>
      <c r="N57" s="40"/>
      <c r="O57" s="40"/>
      <c r="P57" s="44"/>
      <c r="Q57" s="40"/>
      <c r="R57" s="44"/>
      <c r="S57" s="40"/>
      <c r="T57" s="44"/>
      <c r="U57" s="43"/>
      <c r="V57" s="40"/>
      <c r="W57" s="40"/>
      <c r="X57" s="44"/>
      <c r="Y57" s="40"/>
      <c r="Z57" s="44"/>
      <c r="AA57" s="40"/>
      <c r="AB57" s="44"/>
      <c r="AC57" s="43"/>
      <c r="AD57" s="40"/>
      <c r="AE57" s="40"/>
      <c r="AF57" s="44"/>
      <c r="AG57" s="40"/>
      <c r="AH57" s="44"/>
      <c r="AI57" s="40"/>
      <c r="AJ57" s="44"/>
      <c r="AK57" s="43"/>
      <c r="AL57" s="40"/>
      <c r="AM57" s="40"/>
      <c r="AN57" s="44"/>
      <c r="AO57" s="40"/>
      <c r="AP57" s="44"/>
      <c r="AQ57" s="40"/>
      <c r="AR57" s="44"/>
      <c r="AS57" s="43"/>
      <c r="AT57" s="40"/>
      <c r="AU57" s="40"/>
      <c r="AV57" s="44"/>
      <c r="AW57" s="40"/>
      <c r="AX57" s="44"/>
      <c r="AY57" s="40"/>
      <c r="AZ57" s="44"/>
      <c r="BA57" s="43"/>
    </row>
    <row r="58" spans="1:56" x14ac:dyDescent="0.2">
      <c r="A58" s="42" t="s">
        <v>429</v>
      </c>
      <c r="G58" s="40"/>
      <c r="H58" s="44"/>
      <c r="I58" s="40"/>
      <c r="J58" s="44"/>
      <c r="K58" s="40"/>
      <c r="L58" s="44"/>
      <c r="M58" s="43"/>
      <c r="N58" s="40"/>
      <c r="O58" s="40"/>
      <c r="P58" s="44"/>
      <c r="Q58" s="40"/>
      <c r="R58" s="44"/>
      <c r="S58" s="40"/>
      <c r="T58" s="44"/>
      <c r="U58" s="43"/>
      <c r="V58" s="40"/>
      <c r="W58" s="40"/>
      <c r="X58" s="44"/>
      <c r="Y58" s="40"/>
      <c r="Z58" s="44"/>
      <c r="AA58" s="40"/>
      <c r="AB58" s="44"/>
      <c r="AC58" s="43"/>
      <c r="AD58" s="40"/>
      <c r="AE58" s="40"/>
      <c r="AF58" s="44"/>
      <c r="AG58" s="40"/>
      <c r="AH58" s="44"/>
      <c r="AI58" s="40"/>
      <c r="AJ58" s="44"/>
      <c r="AK58" s="55"/>
      <c r="AL58" s="40"/>
      <c r="AM58" s="40"/>
      <c r="AN58" s="44"/>
      <c r="AO58" s="40"/>
      <c r="AP58" s="44"/>
      <c r="AQ58" s="40"/>
      <c r="AR58" s="44"/>
      <c r="AS58" s="43"/>
      <c r="AT58" s="40"/>
      <c r="AU58" s="40"/>
      <c r="AV58" s="44"/>
      <c r="AW58" s="40"/>
      <c r="AX58" s="44"/>
      <c r="AY58" s="40"/>
      <c r="AZ58" s="44"/>
      <c r="BA58" s="43"/>
    </row>
    <row r="59" spans="1:56" x14ac:dyDescent="0.2">
      <c r="A59" s="35" t="s">
        <v>430</v>
      </c>
      <c r="E59" s="54">
        <v>3700</v>
      </c>
      <c r="G59" s="40"/>
      <c r="H59" s="44"/>
      <c r="I59" s="40"/>
      <c r="J59" s="44"/>
      <c r="K59" s="40"/>
      <c r="L59" s="44"/>
      <c r="M59" s="43"/>
      <c r="N59" s="40"/>
      <c r="O59" s="40"/>
      <c r="P59" s="44"/>
      <c r="Q59" s="40"/>
      <c r="R59" s="44"/>
      <c r="S59" s="40"/>
      <c r="T59" s="44"/>
      <c r="U59" s="43"/>
      <c r="V59" s="40"/>
      <c r="W59" s="40"/>
      <c r="X59" s="44"/>
      <c r="Y59" s="40"/>
      <c r="Z59" s="44"/>
      <c r="AA59" s="40"/>
      <c r="AB59" s="44"/>
      <c r="AC59" s="43" t="str">
        <f>IF(AA59=0,"",Y59/AA59)</f>
        <v/>
      </c>
      <c r="AD59" s="40"/>
      <c r="AE59" s="40"/>
      <c r="AF59" s="44"/>
      <c r="AG59" s="40"/>
      <c r="AH59" s="44"/>
      <c r="AI59" s="40"/>
      <c r="AJ59" s="44"/>
      <c r="AK59" s="43" t="str">
        <f>IF(AI59=0,"",AG59/AI59)</f>
        <v/>
      </c>
      <c r="AL59" s="40"/>
      <c r="AM59" s="40"/>
      <c r="AN59" s="44"/>
      <c r="AO59" s="40"/>
      <c r="AP59" s="44"/>
      <c r="AQ59" s="40"/>
      <c r="AR59" s="44"/>
      <c r="AS59" s="43" t="str">
        <f>IF(AQ59=0,"",AO59/AQ59)</f>
        <v/>
      </c>
      <c r="AT59" s="40"/>
      <c r="AU59" s="53">
        <f>G59+O59+W59+AE59</f>
        <v>0</v>
      </c>
      <c r="AV59" s="44"/>
      <c r="AW59" s="53">
        <f>I59+Q59+Y59+AG59</f>
        <v>0</v>
      </c>
      <c r="AX59" s="44"/>
      <c r="AY59" s="53">
        <f>K59+S59+AA59+AI59</f>
        <v>0</v>
      </c>
      <c r="AZ59" s="44"/>
      <c r="BA59" s="43" t="str">
        <f>IF(AY59=0,"",AW59/AY59)</f>
        <v/>
      </c>
      <c r="BD59" s="108"/>
    </row>
    <row r="60" spans="1:56" x14ac:dyDescent="0.2">
      <c r="A60" s="35" t="s">
        <v>431</v>
      </c>
      <c r="E60" s="54">
        <v>3700</v>
      </c>
      <c r="G60" s="40"/>
      <c r="H60" s="44"/>
      <c r="I60" s="40"/>
      <c r="J60" s="44"/>
      <c r="K60" s="40"/>
      <c r="L60" s="44"/>
      <c r="M60" s="43"/>
      <c r="N60" s="40"/>
      <c r="O60" s="40"/>
      <c r="P60" s="44"/>
      <c r="Q60" s="40"/>
      <c r="R60" s="44"/>
      <c r="S60" s="40"/>
      <c r="T60" s="44"/>
      <c r="U60" s="43"/>
      <c r="V60" s="40"/>
      <c r="W60" s="40"/>
      <c r="X60" s="44"/>
      <c r="Y60" s="40"/>
      <c r="Z60" s="44"/>
      <c r="AA60" s="40"/>
      <c r="AB60" s="44"/>
      <c r="AC60" s="43"/>
      <c r="AD60" s="40"/>
      <c r="AE60" s="40"/>
      <c r="AF60" s="44"/>
      <c r="AG60" s="40"/>
      <c r="AH60" s="44"/>
      <c r="AI60" s="40"/>
      <c r="AJ60" s="44"/>
      <c r="AK60" s="43"/>
      <c r="AL60" s="40"/>
      <c r="AM60" s="40"/>
      <c r="AN60" s="44"/>
      <c r="AO60" s="40"/>
      <c r="AP60" s="44"/>
      <c r="AQ60" s="40"/>
      <c r="AR60" s="44"/>
      <c r="AS60" s="43"/>
      <c r="AT60" s="40"/>
      <c r="AU60" s="53"/>
      <c r="AV60" s="44"/>
      <c r="AW60" s="53"/>
      <c r="AX60" s="44"/>
      <c r="AY60" s="53">
        <f>K60+S60+AA60+AI60</f>
        <v>0</v>
      </c>
      <c r="AZ60" s="44"/>
      <c r="BA60" s="43"/>
    </row>
    <row r="61" spans="1:56" x14ac:dyDescent="0.2">
      <c r="A61" s="35" t="s">
        <v>57</v>
      </c>
      <c r="E61" s="54">
        <v>3600</v>
      </c>
      <c r="G61" s="49">
        <f>(O64+W64+AE64)*-1</f>
        <v>769</v>
      </c>
      <c r="H61" s="50"/>
      <c r="I61" s="49">
        <f>(Q64+Y64+AG64)*-1</f>
        <v>130963</v>
      </c>
      <c r="J61" s="50"/>
      <c r="K61" s="49">
        <f>(S64+AA64+AI64)*-1</f>
        <v>246679</v>
      </c>
      <c r="L61" s="44"/>
      <c r="M61" s="43">
        <f t="shared" ref="M61" si="13">IF(K61=0,"%",I61/K61)</f>
        <v>0.53090453585428832</v>
      </c>
      <c r="N61" s="40"/>
      <c r="O61" s="40"/>
      <c r="P61" s="44"/>
      <c r="Q61" s="40"/>
      <c r="R61" s="44"/>
      <c r="S61" s="40"/>
      <c r="T61" s="44"/>
      <c r="U61" s="43" t="str">
        <f t="shared" ref="U61" si="14">IF(S61=0,"%",Q61/S61)</f>
        <v>%</v>
      </c>
      <c r="V61" s="40"/>
      <c r="W61" s="40">
        <f>-W56</f>
        <v>224336</v>
      </c>
      <c r="X61" s="44"/>
      <c r="Y61" s="40">
        <f>-Y56</f>
        <v>996230</v>
      </c>
      <c r="Z61" s="44"/>
      <c r="AA61" s="40">
        <f>-AA56</f>
        <v>1034571</v>
      </c>
      <c r="AB61" s="44"/>
      <c r="AC61" s="43">
        <f t="shared" ref="AC61" si="15">IF(AA61=0,"%",Y61/AA61)</f>
        <v>0.96294019453473956</v>
      </c>
      <c r="AD61" s="40"/>
      <c r="AE61" s="40">
        <f>-AE56</f>
        <v>-201149</v>
      </c>
      <c r="AF61" s="44"/>
      <c r="AG61" s="40">
        <f>-AG56</f>
        <v>-790002</v>
      </c>
      <c r="AH61" s="44"/>
      <c r="AI61" s="40">
        <f>-AI56</f>
        <v>-789674</v>
      </c>
      <c r="AJ61" s="44"/>
      <c r="AK61" s="43">
        <f t="shared" ref="AK61" si="16">IF(AI61=0,"%",AG61/AI61)</f>
        <v>1.0004153612756657</v>
      </c>
      <c r="AL61" s="40"/>
      <c r="AM61" s="40"/>
      <c r="AN61" s="44"/>
      <c r="AO61" s="40"/>
      <c r="AP61" s="44"/>
      <c r="AQ61" s="40"/>
      <c r="AR61" s="44"/>
      <c r="AS61" s="43"/>
      <c r="AT61" s="40"/>
      <c r="AU61" s="53">
        <f>+G61+O61+W61+AE61</f>
        <v>23956</v>
      </c>
      <c r="AV61" s="44"/>
      <c r="AW61" s="53">
        <f>+I61+Q61+Y61+AG61</f>
        <v>337191</v>
      </c>
      <c r="AX61" s="44"/>
      <c r="AY61" s="53">
        <f>+K61+S61+AA61+AI61</f>
        <v>491576</v>
      </c>
      <c r="AZ61" s="44"/>
      <c r="BA61" s="43">
        <f>IF(AY61=0,"",AW61/AY61)</f>
        <v>0.68593869513564532</v>
      </c>
    </row>
    <row r="62" spans="1:56" x14ac:dyDescent="0.2">
      <c r="A62" s="35" t="s">
        <v>432</v>
      </c>
      <c r="E62" s="54">
        <v>9700</v>
      </c>
      <c r="G62" s="49"/>
      <c r="H62" s="50"/>
      <c r="I62" s="49"/>
      <c r="J62" s="50"/>
      <c r="K62" s="49"/>
      <c r="L62" s="44"/>
      <c r="M62" s="43"/>
      <c r="N62" s="40"/>
      <c r="O62" s="40"/>
      <c r="P62" s="44"/>
      <c r="Q62" s="40"/>
      <c r="R62" s="44"/>
      <c r="S62" s="40"/>
      <c r="T62" s="44"/>
      <c r="U62" s="43"/>
      <c r="V62" s="40"/>
      <c r="W62" s="40"/>
      <c r="X62" s="44"/>
      <c r="Y62" s="40"/>
      <c r="Z62" s="44"/>
      <c r="AA62" s="40"/>
      <c r="AB62" s="44"/>
      <c r="AC62" s="43"/>
      <c r="AD62" s="40"/>
      <c r="AE62" s="40"/>
      <c r="AF62" s="44"/>
      <c r="AG62" s="40"/>
      <c r="AH62" s="44"/>
      <c r="AI62" s="40"/>
      <c r="AJ62" s="44"/>
      <c r="AK62" s="43"/>
      <c r="AL62" s="40"/>
      <c r="AM62" s="40"/>
      <c r="AN62" s="44"/>
      <c r="AO62" s="40"/>
      <c r="AP62" s="44"/>
      <c r="AQ62" s="40"/>
      <c r="AR62" s="44"/>
      <c r="AS62" s="43"/>
      <c r="AT62" s="40"/>
      <c r="AU62" s="53"/>
      <c r="AV62" s="44"/>
      <c r="AW62" s="53"/>
      <c r="AX62" s="44"/>
      <c r="AY62" s="53"/>
      <c r="AZ62" s="44"/>
      <c r="BA62" s="43" t="str">
        <f>IF(AY62=0,"",AW62/AY62)</f>
        <v/>
      </c>
    </row>
    <row r="63" spans="1:56" x14ac:dyDescent="0.2">
      <c r="A63" s="35" t="s">
        <v>433</v>
      </c>
      <c r="E63" s="54">
        <v>9700</v>
      </c>
      <c r="G63" s="49"/>
      <c r="H63" s="50"/>
      <c r="I63" s="49"/>
      <c r="J63" s="50"/>
      <c r="K63" s="49"/>
      <c r="L63" s="44"/>
      <c r="M63" s="43"/>
      <c r="N63" s="40"/>
      <c r="O63" s="40"/>
      <c r="P63" s="44"/>
      <c r="Q63" s="40"/>
      <c r="R63" s="44"/>
      <c r="S63" s="40"/>
      <c r="T63" s="44"/>
      <c r="U63" s="43"/>
      <c r="V63" s="40"/>
      <c r="W63" s="40"/>
      <c r="X63" s="44"/>
      <c r="Y63" s="40"/>
      <c r="Z63" s="44"/>
      <c r="AA63" s="40"/>
      <c r="AB63" s="44"/>
      <c r="AC63" s="43"/>
      <c r="AD63" s="40"/>
      <c r="AE63" s="40"/>
      <c r="AF63" s="44"/>
      <c r="AG63" s="40"/>
      <c r="AH63" s="44"/>
      <c r="AI63" s="40"/>
      <c r="AJ63" s="44"/>
      <c r="AK63" s="43"/>
      <c r="AL63" s="40"/>
      <c r="AM63" s="40"/>
      <c r="AN63" s="44"/>
      <c r="AO63" s="40"/>
      <c r="AP63" s="44"/>
      <c r="AQ63" s="40"/>
      <c r="AR63" s="44"/>
      <c r="AS63" s="43"/>
      <c r="AT63" s="40"/>
      <c r="AU63" s="53"/>
      <c r="AV63" s="44"/>
      <c r="AW63" s="53"/>
      <c r="AX63" s="44"/>
      <c r="AY63" s="53"/>
      <c r="AZ63" s="44"/>
      <c r="BA63" s="43" t="str">
        <f>IF(AY63=0,"",AW63/AY63)</f>
        <v/>
      </c>
    </row>
    <row r="64" spans="1:56" x14ac:dyDescent="0.2">
      <c r="A64" s="35" t="s">
        <v>58</v>
      </c>
      <c r="E64" s="54">
        <v>9700</v>
      </c>
      <c r="G64" s="49">
        <f>(O61+W61+AE61)*-1</f>
        <v>-23187</v>
      </c>
      <c r="H64" s="50"/>
      <c r="I64" s="49">
        <f>(Q61+Y61+AG61)*-1</f>
        <v>-206228</v>
      </c>
      <c r="J64" s="50"/>
      <c r="K64" s="49">
        <f>(S61+AA61+AI61)*-1</f>
        <v>-244897</v>
      </c>
      <c r="L64" s="44"/>
      <c r="M64" s="43">
        <f t="shared" ref="M64" si="17">IF(K64=0,"%",I64/K64)</f>
        <v>0.84210096489544584</v>
      </c>
      <c r="N64" s="40"/>
      <c r="O64" s="40">
        <f>-O56</f>
        <v>-769</v>
      </c>
      <c r="P64" s="44"/>
      <c r="Q64" s="40">
        <f>-Q56</f>
        <v>-130963</v>
      </c>
      <c r="R64" s="44"/>
      <c r="S64" s="40">
        <f>-S56</f>
        <v>-246679</v>
      </c>
      <c r="T64" s="44"/>
      <c r="U64" s="43">
        <f t="shared" ref="U64" si="18">IF(S64=0,"%",Q64/S64)</f>
        <v>0.53090453585428832</v>
      </c>
      <c r="V64" s="40"/>
      <c r="W64" s="40"/>
      <c r="X64" s="44"/>
      <c r="Y64" s="40"/>
      <c r="Z64" s="44"/>
      <c r="AA64" s="40"/>
      <c r="AB64" s="44"/>
      <c r="AC64" s="43" t="str">
        <f t="shared" ref="AC64" si="19">IF(AA64=0,"%",Y64/AA64)</f>
        <v>%</v>
      </c>
      <c r="AD64" s="40"/>
      <c r="AE64" s="40"/>
      <c r="AF64" s="44"/>
      <c r="AG64" s="40"/>
      <c r="AH64" s="44"/>
      <c r="AI64" s="40"/>
      <c r="AJ64" s="44"/>
      <c r="AK64" s="43" t="str">
        <f t="shared" ref="AK64" si="20">IF(AI64=0,"%",AG64/AI64)</f>
        <v>%</v>
      </c>
      <c r="AL64" s="40"/>
      <c r="AM64" s="40"/>
      <c r="AN64" s="44"/>
      <c r="AO64" s="40"/>
      <c r="AP64" s="44"/>
      <c r="AQ64" s="40"/>
      <c r="AR64" s="44"/>
      <c r="AS64" s="43" t="str">
        <f>IF(AQ64=0,"",AO64/AQ64)</f>
        <v/>
      </c>
      <c r="AT64" s="40"/>
      <c r="AU64" s="53">
        <f>+G64+O64+W64+AE64</f>
        <v>-23956</v>
      </c>
      <c r="AV64" s="44"/>
      <c r="AW64" s="53">
        <f>+I64+Q64+Y64+AG64</f>
        <v>-337191</v>
      </c>
      <c r="AX64" s="44"/>
      <c r="AY64" s="53">
        <f>+K64+S64+AA64+AI64</f>
        <v>-491576</v>
      </c>
      <c r="AZ64" s="44"/>
      <c r="BA64" s="43">
        <f>IF(AY64=0,"",AW64/AY64)</f>
        <v>0.68593869513564532</v>
      </c>
    </row>
    <row r="65" spans="1:53" ht="25.35" customHeight="1" x14ac:dyDescent="0.2">
      <c r="A65" s="42" t="s">
        <v>434</v>
      </c>
      <c r="G65" s="46">
        <f>SUM(G59:G64)</f>
        <v>-22418</v>
      </c>
      <c r="H65" s="44"/>
      <c r="I65" s="46">
        <f>SUM(I59:I64)</f>
        <v>-75265</v>
      </c>
      <c r="J65" s="44"/>
      <c r="K65" s="46">
        <f>SUM(K59:K64)</f>
        <v>1782</v>
      </c>
      <c r="L65" s="44"/>
      <c r="M65" s="45">
        <f>IF(K65=0,"%",I65/K65)</f>
        <v>-42.236251402918072</v>
      </c>
      <c r="N65" s="40"/>
      <c r="O65" s="46">
        <f>SUM(O59:O64)</f>
        <v>-769</v>
      </c>
      <c r="P65" s="44"/>
      <c r="Q65" s="46">
        <f>SUM(Q59:Q64)</f>
        <v>-130963</v>
      </c>
      <c r="R65" s="44"/>
      <c r="S65" s="46">
        <f>SUM(S59:S64)</f>
        <v>-246679</v>
      </c>
      <c r="T65" s="44"/>
      <c r="U65" s="45">
        <f>IF(S65=0,"%",Q65/S65)</f>
        <v>0.53090453585428832</v>
      </c>
      <c r="V65" s="40"/>
      <c r="W65" s="46">
        <f>SUM(W59:W64)</f>
        <v>224336</v>
      </c>
      <c r="X65" s="44"/>
      <c r="Y65" s="46">
        <f>SUM(Y59:Y64)</f>
        <v>996230</v>
      </c>
      <c r="Z65" s="44"/>
      <c r="AA65" s="46">
        <f>SUM(AA59:AA64)</f>
        <v>1034571</v>
      </c>
      <c r="AB65" s="44"/>
      <c r="AC65" s="45">
        <f>IF(AA65=0,"",Y65/AA65)</f>
        <v>0.96294019453473956</v>
      </c>
      <c r="AD65" s="40"/>
      <c r="AE65" s="46">
        <f>SUM(AE59:AE64)</f>
        <v>-201149</v>
      </c>
      <c r="AF65" s="44"/>
      <c r="AG65" s="46">
        <f>SUM(AG59:AG64)</f>
        <v>-790002</v>
      </c>
      <c r="AH65" s="44"/>
      <c r="AI65" s="46">
        <f>SUM(AI59:AI64)</f>
        <v>-789674</v>
      </c>
      <c r="AJ65" s="44"/>
      <c r="AK65" s="45">
        <f>IF(AI65=0,"",AG65/AI65)</f>
        <v>1.0004153612756657</v>
      </c>
      <c r="AL65" s="40"/>
      <c r="AM65" s="46">
        <f>SUM(AM59:AM64)</f>
        <v>0</v>
      </c>
      <c r="AN65" s="44"/>
      <c r="AO65" s="46">
        <f>SUM(AO59:AO64)</f>
        <v>0</v>
      </c>
      <c r="AP65" s="44"/>
      <c r="AQ65" s="46">
        <f>SUM(AQ59:AQ64)</f>
        <v>0</v>
      </c>
      <c r="AR65" s="44"/>
      <c r="AS65" s="45" t="str">
        <f>IF(AQ65=0,"",AO65/AQ65)</f>
        <v/>
      </c>
      <c r="AT65" s="40"/>
      <c r="AU65" s="46">
        <f>SUM(AU59:AU64)</f>
        <v>0</v>
      </c>
      <c r="AV65" s="44"/>
      <c r="AW65" s="46">
        <f>SUM(AW59:AW64)</f>
        <v>0</v>
      </c>
      <c r="AX65" s="44"/>
      <c r="AY65" s="46">
        <f>SUM(AY59:AY64)</f>
        <v>0</v>
      </c>
      <c r="AZ65" s="44"/>
      <c r="BA65" s="45" t="str">
        <f>IF(AY65=0,"",AW65/AY65)</f>
        <v/>
      </c>
    </row>
    <row r="66" spans="1:53" x14ac:dyDescent="0.2">
      <c r="G66" s="40"/>
      <c r="H66" s="44"/>
      <c r="I66" s="40"/>
      <c r="J66" s="44"/>
      <c r="K66" s="40"/>
      <c r="L66" s="44"/>
      <c r="M66" s="43"/>
      <c r="N66" s="40"/>
      <c r="O66" s="40"/>
      <c r="P66" s="44"/>
      <c r="Q66" s="40"/>
      <c r="R66" s="44"/>
      <c r="S66" s="40"/>
      <c r="T66" s="44"/>
      <c r="U66" s="43"/>
      <c r="V66" s="40"/>
      <c r="W66" s="40"/>
      <c r="X66" s="44"/>
      <c r="Y66" s="40"/>
      <c r="Z66" s="44"/>
      <c r="AA66" s="40"/>
      <c r="AB66" s="44"/>
      <c r="AC66" s="43"/>
      <c r="AD66" s="40"/>
      <c r="AE66" s="40"/>
      <c r="AF66" s="44"/>
      <c r="AG66" s="40"/>
      <c r="AH66" s="44"/>
      <c r="AI66" s="40"/>
      <c r="AJ66" s="44"/>
      <c r="AK66" s="43"/>
      <c r="AL66" s="40"/>
      <c r="AM66" s="40"/>
      <c r="AN66" s="44"/>
      <c r="AO66" s="40"/>
      <c r="AP66" s="44"/>
      <c r="AQ66" s="40"/>
      <c r="AR66" s="44"/>
      <c r="AS66" s="43"/>
      <c r="AT66" s="40"/>
      <c r="AU66" s="40"/>
      <c r="AV66" s="44"/>
      <c r="AW66" s="40"/>
      <c r="AX66" s="44"/>
      <c r="AY66" s="40"/>
      <c r="AZ66" s="44"/>
      <c r="BA66" s="43"/>
    </row>
    <row r="67" spans="1:53" x14ac:dyDescent="0.2">
      <c r="G67" s="49"/>
      <c r="H67" s="50"/>
      <c r="I67" s="49"/>
      <c r="J67" s="50"/>
      <c r="K67" s="49"/>
      <c r="L67" s="50"/>
      <c r="M67" s="52"/>
      <c r="N67" s="40"/>
      <c r="O67" s="40"/>
      <c r="P67" s="40"/>
      <c r="Q67" s="40"/>
      <c r="R67" s="40"/>
      <c r="S67" s="40"/>
      <c r="T67" s="40"/>
      <c r="U67" s="43"/>
      <c r="V67" s="40"/>
      <c r="W67" s="40"/>
      <c r="X67" s="40"/>
      <c r="Y67" s="40"/>
      <c r="Z67" s="40"/>
      <c r="AA67" s="40"/>
      <c r="AB67" s="40"/>
      <c r="AC67" s="43" t="str">
        <f>IF(AA67=0,"",Y67/AA67)</f>
        <v/>
      </c>
      <c r="AD67" s="40"/>
      <c r="AE67" s="40"/>
      <c r="AF67" s="40"/>
      <c r="AG67" s="40"/>
      <c r="AH67" s="40"/>
      <c r="AI67" s="40"/>
      <c r="AJ67" s="44"/>
      <c r="AK67" s="43" t="str">
        <f>IF(AI67=0,"",AG67/AI67)</f>
        <v/>
      </c>
      <c r="AL67" s="40"/>
      <c r="AM67" s="40"/>
      <c r="AN67" s="44"/>
      <c r="AO67" s="40"/>
      <c r="AP67" s="44"/>
      <c r="AQ67" s="40"/>
      <c r="AR67" s="44"/>
      <c r="AS67" s="43" t="str">
        <f>IF(AQ67=0,"",AO67/AQ67)</f>
        <v/>
      </c>
      <c r="AT67" s="40"/>
      <c r="AU67" s="40"/>
      <c r="AV67" s="44"/>
      <c r="AW67" s="40"/>
      <c r="AX67" s="44"/>
      <c r="AY67" s="40"/>
      <c r="AZ67" s="44"/>
      <c r="BA67" s="43" t="str">
        <f>IF(AY67=0,"",AW67/AY67)</f>
        <v/>
      </c>
    </row>
    <row r="68" spans="1:53" x14ac:dyDescent="0.2">
      <c r="A68" s="42" t="s">
        <v>435</v>
      </c>
      <c r="G68" s="49">
        <f>+G56+G65</f>
        <v>-114728</v>
      </c>
      <c r="H68" s="50"/>
      <c r="I68" s="49">
        <f>+I56+I65</f>
        <v>-546718</v>
      </c>
      <c r="J68" s="50"/>
      <c r="K68" s="49">
        <f>+K56+K65</f>
        <v>-410717</v>
      </c>
      <c r="L68" s="51"/>
      <c r="M68" s="43">
        <f>IF(K68=0,"%",I68/K68)</f>
        <v>1.3311306812233241</v>
      </c>
      <c r="N68" s="40"/>
      <c r="O68" s="49">
        <f>+O56+O65</f>
        <v>0</v>
      </c>
      <c r="P68" s="40"/>
      <c r="Q68" s="49">
        <f>+Q56+Q65</f>
        <v>0</v>
      </c>
      <c r="R68" s="40"/>
      <c r="S68" s="49">
        <f>+S56+S65</f>
        <v>0</v>
      </c>
      <c r="T68" s="40"/>
      <c r="U68" s="43"/>
      <c r="V68" s="40"/>
      <c r="W68" s="49">
        <f>+W56+W65</f>
        <v>0</v>
      </c>
      <c r="X68" s="40"/>
      <c r="Y68" s="49">
        <f>+Y56+Y65</f>
        <v>0</v>
      </c>
      <c r="Z68" s="40"/>
      <c r="AA68" s="49">
        <f>+AA56+AA65</f>
        <v>0</v>
      </c>
      <c r="AB68" s="40"/>
      <c r="AC68" s="43" t="str">
        <f>IF(AA68=0,"",Y68/AA68)</f>
        <v/>
      </c>
      <c r="AD68" s="40"/>
      <c r="AE68" s="49">
        <f>+AE56+AE65</f>
        <v>0</v>
      </c>
      <c r="AF68" s="40"/>
      <c r="AG68" s="49">
        <f>+AG56+AG65</f>
        <v>0</v>
      </c>
      <c r="AH68" s="40"/>
      <c r="AI68" s="49">
        <f>+AI56+AI65</f>
        <v>0</v>
      </c>
      <c r="AJ68" s="51"/>
      <c r="AK68" s="43" t="str">
        <f>IF(AI68=0,"",AG68/AI68)</f>
        <v/>
      </c>
      <c r="AL68" s="40"/>
      <c r="AM68" s="40"/>
      <c r="AN68" s="51"/>
      <c r="AO68" s="40"/>
      <c r="AP68" s="51"/>
      <c r="AQ68" s="40"/>
      <c r="AR68" s="51"/>
      <c r="AS68" s="43" t="str">
        <f>IF(AQ68=0,"",AO68/AQ68)</f>
        <v/>
      </c>
      <c r="AT68" s="40"/>
      <c r="AU68" s="49">
        <f>+AU56+AU65</f>
        <v>-114728</v>
      </c>
      <c r="AV68" s="51"/>
      <c r="AW68" s="49">
        <f>+AW56+AW65</f>
        <v>-546718</v>
      </c>
      <c r="AX68" s="51"/>
      <c r="AY68" s="49">
        <f>+AY56+AY65</f>
        <v>-410715</v>
      </c>
      <c r="AZ68" s="51"/>
      <c r="BA68" s="43">
        <f>IF(AY68=0,"",AW68/AY68)</f>
        <v>1.3311371632397162</v>
      </c>
    </row>
    <row r="69" spans="1:53" x14ac:dyDescent="0.2">
      <c r="A69" s="35" t="s">
        <v>436</v>
      </c>
      <c r="G69" s="99">
        <v>1844502</v>
      </c>
      <c r="H69" s="50"/>
      <c r="I69" s="49">
        <v>2200542</v>
      </c>
      <c r="K69" s="49">
        <f>+I69</f>
        <v>2200542</v>
      </c>
      <c r="M69" s="43">
        <f>IF(K69=0,"%",I69/K69)</f>
        <v>1</v>
      </c>
      <c r="N69" s="40"/>
      <c r="O69" s="40">
        <v>0</v>
      </c>
      <c r="Q69" s="40">
        <v>0</v>
      </c>
      <c r="S69" s="40">
        <v>0</v>
      </c>
      <c r="U69" s="43"/>
      <c r="V69" s="40"/>
      <c r="W69" s="48">
        <v>0</v>
      </c>
      <c r="Y69" s="40">
        <v>0</v>
      </c>
      <c r="AA69" s="40">
        <v>0</v>
      </c>
      <c r="AC69" s="43" t="str">
        <f>IF(AA69=0,"",Y69/AA69)</f>
        <v/>
      </c>
      <c r="AD69" s="40"/>
      <c r="AE69" s="40">
        <v>0</v>
      </c>
      <c r="AG69" s="40">
        <v>0</v>
      </c>
      <c r="AI69" s="40">
        <v>0</v>
      </c>
      <c r="AK69" s="43" t="str">
        <f>IF(AI69=0,"",AG69/AI69)</f>
        <v/>
      </c>
      <c r="AL69" s="40"/>
      <c r="AM69" s="40"/>
      <c r="AO69" s="40"/>
      <c r="AQ69" s="40"/>
      <c r="AS69" s="43" t="str">
        <f>IF(AQ69=0,"",AO69/AQ69)</f>
        <v/>
      </c>
      <c r="AT69" s="40"/>
      <c r="AU69" s="40">
        <f>G69+O69+W69+AE69+AM69</f>
        <v>1844502</v>
      </c>
      <c r="AW69" s="40">
        <f>I69+Q69+Y69+AG69+AO69</f>
        <v>2200542</v>
      </c>
      <c r="AY69" s="40">
        <f>K69+S69+AA69+AI69+AQ69</f>
        <v>2200542</v>
      </c>
      <c r="BA69" s="43">
        <f>IF(AY69=0,"",AW69/AY69)</f>
        <v>1</v>
      </c>
    </row>
    <row r="70" spans="1:53" x14ac:dyDescent="0.2">
      <c r="A70" s="35" t="s">
        <v>437</v>
      </c>
      <c r="G70" s="40">
        <v>-18091</v>
      </c>
      <c r="H70" s="44"/>
      <c r="I70" s="40">
        <f>75950-18091</f>
        <v>57859</v>
      </c>
      <c r="K70" s="40">
        <f>+I70</f>
        <v>57859</v>
      </c>
      <c r="M70" s="43">
        <f>IF(K70=0,"%",I70/K70)</f>
        <v>1</v>
      </c>
      <c r="N70" s="40"/>
      <c r="O70" s="40"/>
      <c r="Q70" s="40"/>
      <c r="S70" s="40"/>
      <c r="U70" s="43"/>
      <c r="V70" s="40"/>
      <c r="W70" s="40"/>
      <c r="Y70" s="40"/>
      <c r="AA70" s="40"/>
      <c r="AC70" s="43"/>
      <c r="AD70" s="40"/>
      <c r="AE70" s="40"/>
      <c r="AG70" s="40"/>
      <c r="AI70" s="40"/>
      <c r="AK70" s="43"/>
      <c r="AL70" s="40"/>
      <c r="AM70" s="40"/>
      <c r="AO70" s="40"/>
      <c r="AQ70" s="40"/>
      <c r="AS70" s="43"/>
      <c r="AT70" s="40"/>
      <c r="AU70" s="40">
        <f>G70+O70+W70+AE70+AM70</f>
        <v>-18091</v>
      </c>
      <c r="AW70" s="40">
        <f>I70+Q70+Y70+AG70+AO70</f>
        <v>57859</v>
      </c>
      <c r="AY70" s="40">
        <f>K70+S70+AA70+AI70+AQ70</f>
        <v>57859</v>
      </c>
      <c r="BA70" s="47">
        <f>IF(AY70=0,"",AW70/AY70)</f>
        <v>1</v>
      </c>
    </row>
    <row r="71" spans="1:53" x14ac:dyDescent="0.2">
      <c r="A71" s="42" t="s">
        <v>438</v>
      </c>
      <c r="G71" s="46">
        <f>SUM(G69:G70)</f>
        <v>1826411</v>
      </c>
      <c r="H71" s="44"/>
      <c r="I71" s="46">
        <f>SUM(I69:I70)</f>
        <v>2258401</v>
      </c>
      <c r="K71" s="46">
        <f>SUM(K69:K70)</f>
        <v>2258401</v>
      </c>
      <c r="M71" s="45">
        <f>IF(K71=0,"%",I71/K71)</f>
        <v>1</v>
      </c>
      <c r="N71" s="40"/>
      <c r="O71" s="46">
        <f>SUM(O69:O70)</f>
        <v>0</v>
      </c>
      <c r="Q71" s="46">
        <f>SUM(Q69:Q70)</f>
        <v>0</v>
      </c>
      <c r="S71" s="46">
        <f>SUM(S69:S70)</f>
        <v>0</v>
      </c>
      <c r="U71" s="45"/>
      <c r="V71" s="40"/>
      <c r="W71" s="46">
        <f>SUM(W69:W70)</f>
        <v>0</v>
      </c>
      <c r="Y71" s="46">
        <f>SUM(Y69:Y70)</f>
        <v>0</v>
      </c>
      <c r="AA71" s="46">
        <f>SUM(AA69:AA70)</f>
        <v>0</v>
      </c>
      <c r="AC71" s="45" t="str">
        <f>IF(AA71=0,"",Y71/AA71)</f>
        <v/>
      </c>
      <c r="AD71" s="40"/>
      <c r="AE71" s="46">
        <f>SUM(AE69:AE70)</f>
        <v>0</v>
      </c>
      <c r="AG71" s="46">
        <f>SUM(AG69:AG70)</f>
        <v>0</v>
      </c>
      <c r="AI71" s="46">
        <f>SUM(AI69:AI70)</f>
        <v>0</v>
      </c>
      <c r="AK71" s="45" t="str">
        <f>IF(AI71=0,"",AG71/AI71)</f>
        <v/>
      </c>
      <c r="AL71" s="40"/>
      <c r="AM71" s="46">
        <f>SUM(AM68:AM69)</f>
        <v>0</v>
      </c>
      <c r="AO71" s="46">
        <f>SUM(AO68:AO69)</f>
        <v>0</v>
      </c>
      <c r="AQ71" s="46">
        <f>SUM(AQ68:AQ69)</f>
        <v>0</v>
      </c>
      <c r="AS71" s="45" t="str">
        <f>IF(AQ71=0,"",AO71/AQ71)</f>
        <v/>
      </c>
      <c r="AT71" s="40"/>
      <c r="AU71" s="46">
        <f>SUM(AU69:AU70)</f>
        <v>1826411</v>
      </c>
      <c r="AW71" s="46">
        <f>SUM(AW69:AW70)</f>
        <v>2258401</v>
      </c>
      <c r="AY71" s="46">
        <f>SUM(AY69:AY70)</f>
        <v>2258401</v>
      </c>
      <c r="BA71" s="45">
        <f>IF(AY71=0,"",AW71/AY71)</f>
        <v>1</v>
      </c>
    </row>
    <row r="72" spans="1:53" ht="7.35" customHeight="1" x14ac:dyDescent="0.2">
      <c r="G72" s="40"/>
      <c r="H72" s="44"/>
      <c r="I72" s="40"/>
      <c r="J72" s="40"/>
      <c r="K72" s="40"/>
      <c r="L72" s="40"/>
      <c r="M72" s="43"/>
      <c r="N72" s="40"/>
      <c r="O72" s="40"/>
      <c r="P72" s="40"/>
      <c r="Q72" s="40"/>
      <c r="R72" s="40"/>
      <c r="S72" s="40"/>
      <c r="T72" s="40"/>
      <c r="U72" s="43"/>
      <c r="V72" s="40"/>
      <c r="W72" s="40"/>
      <c r="X72" s="40"/>
      <c r="Y72" s="40"/>
      <c r="Z72" s="40"/>
      <c r="AA72" s="40"/>
      <c r="AB72" s="40"/>
      <c r="AC72" s="43"/>
      <c r="AD72" s="40"/>
      <c r="AE72" s="40"/>
      <c r="AF72" s="40"/>
      <c r="AG72" s="40"/>
      <c r="AH72" s="40"/>
      <c r="AI72" s="40"/>
      <c r="AJ72" s="40"/>
      <c r="AK72" s="43"/>
      <c r="AL72" s="40"/>
      <c r="AM72" s="40"/>
      <c r="AN72" s="40"/>
      <c r="AO72" s="40"/>
      <c r="AP72" s="40"/>
      <c r="AQ72" s="40"/>
      <c r="AR72" s="40"/>
      <c r="AS72" s="43"/>
      <c r="AT72" s="40"/>
      <c r="AU72" s="40"/>
      <c r="AV72" s="40"/>
      <c r="AW72" s="40"/>
      <c r="AX72" s="40"/>
      <c r="AY72" s="40"/>
      <c r="AZ72" s="40"/>
      <c r="BA72" s="43"/>
    </row>
    <row r="73" spans="1:53" ht="25.35" customHeight="1" x14ac:dyDescent="0.2">
      <c r="A73" s="42" t="s">
        <v>439</v>
      </c>
      <c r="G73" s="41">
        <f>+G68+G71</f>
        <v>1711683</v>
      </c>
      <c r="H73" s="38"/>
      <c r="I73" s="41">
        <f>+I68+I71</f>
        <v>1711683</v>
      </c>
      <c r="J73" s="38"/>
      <c r="K73" s="41">
        <f>+K68+K71</f>
        <v>1847684</v>
      </c>
      <c r="L73" s="38"/>
      <c r="M73" s="39">
        <f>IF(K73=0,"%",I73/K73)</f>
        <v>0.92639379893964557</v>
      </c>
      <c r="N73" s="38"/>
      <c r="O73" s="41">
        <f>+O68+O71</f>
        <v>0</v>
      </c>
      <c r="P73" s="38"/>
      <c r="Q73" s="41">
        <f>+Q68+Q71</f>
        <v>0</v>
      </c>
      <c r="R73" s="38"/>
      <c r="S73" s="41">
        <f>+S68+S71</f>
        <v>0</v>
      </c>
      <c r="T73" s="38"/>
      <c r="U73" s="39" t="str">
        <f>IF(S73=0,"%",Q73/S73)</f>
        <v>%</v>
      </c>
      <c r="V73" s="40"/>
      <c r="W73" s="41">
        <f>+W68+W71</f>
        <v>0</v>
      </c>
      <c r="X73" s="38"/>
      <c r="Y73" s="41">
        <f>+Y68+Y71</f>
        <v>0</v>
      </c>
      <c r="Z73" s="38"/>
      <c r="AA73" s="41">
        <f>+AA68+AA71</f>
        <v>0</v>
      </c>
      <c r="AB73" s="38"/>
      <c r="AC73" s="39" t="str">
        <f>IF(AA73=0,"%",Y73/AA73)</f>
        <v>%</v>
      </c>
      <c r="AD73" s="40"/>
      <c r="AE73" s="41">
        <f>AE71+AE65+AE56</f>
        <v>0</v>
      </c>
      <c r="AF73" s="38"/>
      <c r="AG73" s="41">
        <f>AG71+AG65+AG56</f>
        <v>0</v>
      </c>
      <c r="AH73" s="38"/>
      <c r="AI73" s="41">
        <f>AI71+AI65+AI56</f>
        <v>0</v>
      </c>
      <c r="AJ73" s="38"/>
      <c r="AK73" s="39" t="str">
        <f>IF(AI73=0,"%",AG73/AI73)</f>
        <v>%</v>
      </c>
      <c r="AL73" s="40"/>
      <c r="AM73" s="41">
        <f>AM71+AM67</f>
        <v>0</v>
      </c>
      <c r="AN73" s="40"/>
      <c r="AO73" s="41">
        <f>AO71+AO67</f>
        <v>0</v>
      </c>
      <c r="AP73" s="40"/>
      <c r="AQ73" s="41">
        <f>AQ71+AQ67</f>
        <v>0</v>
      </c>
      <c r="AR73" s="40"/>
      <c r="AS73" s="39" t="str">
        <f>IF(AQ73=0,"%",AO73/AQ73)</f>
        <v>%</v>
      </c>
      <c r="AT73" s="40"/>
      <c r="AU73" s="41">
        <f>AU71+AU65+AU56</f>
        <v>1711683</v>
      </c>
      <c r="AV73" s="40"/>
      <c r="AW73" s="41">
        <f>AW71+AW65+AW56</f>
        <v>1711683</v>
      </c>
      <c r="AX73" s="40"/>
      <c r="AY73" s="41">
        <f>AY71+AY65+AY56</f>
        <v>1847686</v>
      </c>
      <c r="AZ73" s="40"/>
      <c r="BA73" s="39">
        <f>IF(AY73=0,"%",AW73/AY73)</f>
        <v>0.92639279617857151</v>
      </c>
    </row>
    <row r="74" spans="1:53" x14ac:dyDescent="0.2">
      <c r="G74" s="37"/>
      <c r="AN74" s="38"/>
      <c r="AP74" s="38"/>
    </row>
    <row r="75" spans="1:53" x14ac:dyDescent="0.2">
      <c r="G75" s="36">
        <f>+G73-G79</f>
        <v>0</v>
      </c>
      <c r="I75" s="100">
        <f>+I73-I79</f>
        <v>0</v>
      </c>
      <c r="K75" s="100"/>
      <c r="O75" s="37">
        <f>+O73-'Balance Sheet'!G40</f>
        <v>0</v>
      </c>
      <c r="Q75" s="37">
        <f>+Q73-'Balance Sheet'!G40</f>
        <v>0</v>
      </c>
      <c r="W75" s="37">
        <f>+W73-'Balance Sheet'!I40</f>
        <v>0</v>
      </c>
      <c r="Y75" s="36">
        <f>+Y73-'Balance Sheet'!I40</f>
        <v>0</v>
      </c>
      <c r="AE75" s="36">
        <f>+AE73-'Balance Sheet'!K40</f>
        <v>0</v>
      </c>
      <c r="AG75" s="36">
        <f>+AG73-'Balance Sheet'!K40</f>
        <v>0</v>
      </c>
      <c r="AU75" s="36">
        <f>+AU73-'Balance Sheet'!O40</f>
        <v>0</v>
      </c>
      <c r="AW75" s="36">
        <f>+AW73-'Balance Sheet'!O40</f>
        <v>0</v>
      </c>
    </row>
    <row r="76" spans="1:53" x14ac:dyDescent="0.2">
      <c r="G76" s="36"/>
      <c r="W76" s="36"/>
    </row>
    <row r="77" spans="1:53" ht="14.25" x14ac:dyDescent="0.2">
      <c r="G77" s="36"/>
      <c r="I77" s="37"/>
      <c r="AW77" s="101" t="s">
        <v>440</v>
      </c>
      <c r="AX77" s="102"/>
      <c r="AY77" s="109">
        <v>13362257</v>
      </c>
    </row>
    <row r="78" spans="1:53" ht="14.25" x14ac:dyDescent="0.2">
      <c r="G78" s="36"/>
      <c r="I78" s="36"/>
      <c r="AW78" s="101" t="s">
        <v>441</v>
      </c>
      <c r="AX78" s="102"/>
      <c r="AY78" s="103">
        <f>+AY77-AY24</f>
        <v>-4536926</v>
      </c>
    </row>
    <row r="79" spans="1:53" ht="14.25" x14ac:dyDescent="0.2">
      <c r="G79" s="36">
        <f>+'Balance Sheet'!E40</f>
        <v>1711683</v>
      </c>
      <c r="I79" s="36">
        <f>+G79</f>
        <v>1711683</v>
      </c>
      <c r="AV79" s="98"/>
      <c r="AW79" s="101" t="s">
        <v>442</v>
      </c>
      <c r="AX79" s="105"/>
      <c r="AY79" s="110">
        <v>13772974</v>
      </c>
    </row>
    <row r="80" spans="1:53" ht="14.25" x14ac:dyDescent="0.2">
      <c r="G80" s="36"/>
      <c r="I80" s="36"/>
      <c r="AV80" s="98"/>
      <c r="AW80" s="101" t="s">
        <v>443</v>
      </c>
      <c r="AX80" s="103"/>
      <c r="AY80" s="104">
        <f>+AY79-AY55</f>
        <v>-4536924</v>
      </c>
    </row>
    <row r="81" spans="7:51" x14ac:dyDescent="0.2">
      <c r="G81" s="36"/>
    </row>
    <row r="83" spans="7:51" x14ac:dyDescent="0.2">
      <c r="I83" s="123"/>
      <c r="AW83" s="126">
        <v>2281465</v>
      </c>
      <c r="AX83" s="136"/>
      <c r="AY83" s="136" t="s">
        <v>447</v>
      </c>
    </row>
    <row r="84" spans="7:51" x14ac:dyDescent="0.2">
      <c r="I84" s="36"/>
      <c r="AW84" s="126">
        <f>+AW71</f>
        <v>2258401</v>
      </c>
      <c r="AX84" s="136"/>
      <c r="AY84" s="136" t="s">
        <v>444</v>
      </c>
    </row>
    <row r="85" spans="7:51" ht="13.5" thickBot="1" x14ac:dyDescent="0.25">
      <c r="I85" s="36"/>
      <c r="AW85" s="137">
        <f>+AW83-AW84</f>
        <v>23064</v>
      </c>
      <c r="AX85" s="136"/>
      <c r="AY85" s="136" t="s">
        <v>455</v>
      </c>
    </row>
    <row r="86" spans="7:51" ht="13.5" thickTop="1" x14ac:dyDescent="0.2">
      <c r="AW86" s="100"/>
    </row>
  </sheetData>
  <mergeCells count="18">
    <mergeCell ref="AE5:AS5"/>
    <mergeCell ref="AE2:AK2"/>
    <mergeCell ref="AU10:BA10"/>
    <mergeCell ref="G10:M10"/>
    <mergeCell ref="O10:U10"/>
    <mergeCell ref="A4:U4"/>
    <mergeCell ref="W10:AC10"/>
    <mergeCell ref="AE10:AK10"/>
    <mergeCell ref="AM10:AS10"/>
    <mergeCell ref="A1:U1"/>
    <mergeCell ref="W4:AC4"/>
    <mergeCell ref="AM1:AS1"/>
    <mergeCell ref="W1:AC1"/>
    <mergeCell ref="W2:AC2"/>
    <mergeCell ref="A2:U2"/>
    <mergeCell ref="A3:U3"/>
    <mergeCell ref="AE3:AS3"/>
    <mergeCell ref="AE4:AS4"/>
  </mergeCells>
  <pageMargins left="1" right="0.45" top="0.5" bottom="0.5" header="0.3" footer="0.3"/>
  <pageSetup scale="46" fitToWidth="2" orientation="landscape" r:id="rId1"/>
  <colBreaks count="1" manualBreakCount="1">
    <brk id="21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B64E461614584CAABF2CF0D915B07E" ma:contentTypeVersion="19" ma:contentTypeDescription="Create a new document." ma:contentTypeScope="" ma:versionID="41bb0a25cfe2ac980edc1b374b543199">
  <xsd:schema xmlns:xsd="http://www.w3.org/2001/XMLSchema" xmlns:xs="http://www.w3.org/2001/XMLSchema" xmlns:p="http://schemas.microsoft.com/office/2006/metadata/properties" xmlns:ns2="6ad6d15e-03e9-4a3e-8577-25f3796a7ac3" xmlns:ns3="33f564b9-7b97-403e-9115-7803dcdfa460" targetNamespace="http://schemas.microsoft.com/office/2006/metadata/properties" ma:root="true" ma:fieldsID="ef0fbf61d591b9d5c9769cc5d13a3b39" ns2:_="" ns3:_="">
    <xsd:import namespace="6ad6d15e-03e9-4a3e-8577-25f3796a7ac3"/>
    <xsd:import namespace="33f564b9-7b97-403e-9115-7803dcdfa4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readyforreview" minOccurs="0"/>
                <xsd:element ref="ns2:Reviwer" minOccurs="0"/>
                <xsd:element ref="ns2:Comme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6d15e-03e9-4a3e-8577-25f3796a7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03e7d6-64df-47be-9f92-c9becf2ef8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adyforreview" ma:index="22" nillable="true" ma:displayName="Preparer" ma:default="0" ma:description="If yes then this is ready for review" ma:format="Dropdown" ma:internalName="readyforreview">
      <xsd:simpleType>
        <xsd:restriction base="dms:Boolean"/>
      </xsd:simpleType>
    </xsd:element>
    <xsd:element name="Reviwer" ma:index="23" nillable="true" ma:displayName="Reviewer" ma:default="0" ma:description="If yes then this has been reviewed" ma:format="Dropdown" ma:internalName="Reviwer">
      <xsd:simpleType>
        <xsd:restriction base="dms:Boolean"/>
      </xsd:simpleType>
    </xsd:element>
    <xsd:element name="Comments" ma:index="24" nillable="true" ma:displayName="Comments" ma:description="sss" ma:format="Dropdown" ma:internalName="Comments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564b9-7b97-403e-9115-7803dcdfa46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e1c8ed7-8232-4bf6-9c2d-6bdf01900a51}" ma:internalName="TaxCatchAll" ma:showField="CatchAllData" ma:web="33f564b9-7b97-403e-9115-7803dcdfa4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6ad6d15e-03e9-4a3e-8577-25f3796a7ac3" xsi:nil="true"/>
    <Reviwer xmlns="6ad6d15e-03e9-4a3e-8577-25f3796a7ac3">false</Reviwer>
    <TaxCatchAll xmlns="33f564b9-7b97-403e-9115-7803dcdfa460" xsi:nil="true"/>
    <readyforreview xmlns="6ad6d15e-03e9-4a3e-8577-25f3796a7ac3">false</readyforreview>
    <lcf76f155ced4ddcb4097134ff3c332f xmlns="6ad6d15e-03e9-4a3e-8577-25f3796a7a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8F9E6C-3A84-4C3B-A994-5A8848806D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d6d15e-03e9-4a3e-8577-25f3796a7ac3"/>
    <ds:schemaRef ds:uri="33f564b9-7b97-403e-9115-7803dcdfa4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7F9BB-34FD-4253-A8C3-26EADC97FA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EC39BF-234C-47F2-B242-6DAB06AB0A48}">
  <ds:schemaRefs>
    <ds:schemaRef ds:uri="http://schemas.microsoft.com/office/2006/metadata/properties"/>
    <ds:schemaRef ds:uri="http://schemas.microsoft.com/office/infopath/2007/PartnerControls"/>
    <ds:schemaRef ds:uri="6ad6d15e-03e9-4a3e-8577-25f3796a7ac3"/>
    <ds:schemaRef ds:uri="33f564b9-7b97-403e-9115-7803dcdfa4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Sheet1</vt:lpstr>
      <vt:lpstr>Alert</vt:lpstr>
      <vt:lpstr>SOFP - Intacct Full</vt:lpstr>
      <vt:lpstr>SOFP - Intacct Summary</vt:lpstr>
      <vt:lpstr>SOA -Intacct</vt:lpstr>
      <vt:lpstr>Restricted Balances</vt:lpstr>
      <vt:lpstr>Joe County Report- Intacct</vt:lpstr>
      <vt:lpstr>Balance Sheet</vt:lpstr>
      <vt:lpstr>Stmt of Rev, Exp, and Fund  (2)</vt:lpstr>
      <vt:lpstr>'Balance Sheet'!Print_Area</vt:lpstr>
      <vt:lpstr>'SOA -Intacct'!Print_Area</vt:lpstr>
      <vt:lpstr>'SOFP - Intacct Summary'!Print_Area</vt:lpstr>
      <vt:lpstr>'Stmt of Rev, Exp, and Fund  (2)'!Print_Area</vt:lpstr>
      <vt:lpstr>'Stmt of Rev, Exp, and Fund  (2)'!Print_Titles</vt:lpstr>
    </vt:vector>
  </TitlesOfParts>
  <Manager/>
  <Company>Florida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Miller, Adam</dc:creator>
  <cp:keywords/>
  <dc:description/>
  <cp:lastModifiedBy>Nicole Cummings</cp:lastModifiedBy>
  <cp:revision/>
  <dcterms:created xsi:type="dcterms:W3CDTF">2013-06-25T18:33:03Z</dcterms:created>
  <dcterms:modified xsi:type="dcterms:W3CDTF">2026-08-11T16:58:29Z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ContentTypeId">
    <vt:lpwstr>0x0101002DB64E461614584CAABF2CF0D915B07E</vt:lpwstr>
  </property>
  <property fmtid="{D5CDD505-2E9C-101B-9397-08002B2CF9AE}" pid="6" name="MediaServiceImageTags">
    <vt:lpwstr/>
  </property>
</Properties>
</file>